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filterPrivacy="1"/>
  <xr:revisionPtr revIDLastSave="0" documentId="13_ncr:1_{DCE12756-38F4-43B7-A90B-B2889BA88A1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СР" sheetId="12" r:id="rId1"/>
    <sheet name="СМР" sheetId="15" r:id="rId2"/>
    <sheet name="ТМЦ" sheetId="16" r:id="rId3"/>
  </sheets>
  <externalReferences>
    <externalReference r:id="rId4"/>
  </externalReferences>
  <definedNames>
    <definedName name="_xlnm._FilterDatabase" localSheetId="0" hidden="1">ЛСР!$A$12:$G$21</definedName>
    <definedName name="Данные">[1]Тестовый!$F$10:$H$14</definedName>
    <definedName name="_xlnm.Print_Area" localSheetId="0">ЛСР!$A$1:$K$79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2" l="1"/>
  <c r="K30" i="12"/>
  <c r="K29" i="12"/>
  <c r="K28" i="12"/>
  <c r="K27" i="12"/>
  <c r="K26" i="12"/>
  <c r="K25" i="12"/>
  <c r="K24" i="12"/>
  <c r="K23" i="12"/>
  <c r="K22" i="12"/>
  <c r="K36" i="12"/>
  <c r="K35" i="12"/>
  <c r="K34" i="12"/>
  <c r="K33" i="12"/>
  <c r="K32" i="12"/>
  <c r="K48" i="12"/>
  <c r="K47" i="12"/>
  <c r="K46" i="12"/>
  <c r="K45" i="12"/>
  <c r="K44" i="12"/>
  <c r="K43" i="12"/>
  <c r="K50" i="12"/>
  <c r="K51" i="12"/>
  <c r="K52" i="12"/>
  <c r="K53" i="12"/>
  <c r="K54" i="12"/>
  <c r="K55" i="12"/>
  <c r="K56" i="12"/>
  <c r="K57" i="12"/>
  <c r="K58" i="12"/>
  <c r="K59" i="12"/>
  <c r="K60" i="12"/>
  <c r="K61" i="12"/>
  <c r="K62" i="12"/>
  <c r="K63" i="12"/>
  <c r="K49" i="12"/>
  <c r="H67" i="12"/>
  <c r="H41" i="12"/>
  <c r="H40" i="12"/>
  <c r="H19" i="12"/>
  <c r="H20" i="12"/>
  <c r="H18" i="12"/>
  <c r="F20" i="12"/>
  <c r="G20" i="12" s="1"/>
  <c r="E5" i="15" s="1"/>
  <c r="G5" i="15" s="1"/>
  <c r="I4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" i="16"/>
  <c r="H63" i="12"/>
  <c r="H62" i="12"/>
  <c r="H61" i="12"/>
  <c r="H60" i="12"/>
  <c r="H59" i="12"/>
  <c r="H58" i="12"/>
  <c r="H57" i="12"/>
  <c r="H56" i="12"/>
  <c r="H55" i="12"/>
  <c r="H54" i="12"/>
  <c r="H53" i="12"/>
  <c r="H52" i="12"/>
  <c r="H51" i="12"/>
  <c r="H50" i="12"/>
  <c r="H49" i="12"/>
  <c r="H48" i="12"/>
  <c r="H47" i="12"/>
  <c r="H46" i="12"/>
  <c r="H45" i="12"/>
  <c r="H44" i="12"/>
  <c r="H43" i="12"/>
  <c r="H36" i="12"/>
  <c r="H35" i="12"/>
  <c r="H34" i="12"/>
  <c r="H33" i="12"/>
  <c r="H32" i="12"/>
  <c r="H30" i="12"/>
  <c r="H29" i="12"/>
  <c r="H28" i="12"/>
  <c r="H27" i="12"/>
  <c r="H26" i="12"/>
  <c r="H25" i="12"/>
  <c r="H24" i="12"/>
  <c r="H23" i="12"/>
  <c r="H22" i="12"/>
  <c r="G67" i="12"/>
  <c r="E8" i="15" s="1"/>
  <c r="G8" i="15" s="1"/>
  <c r="G41" i="12"/>
  <c r="E7" i="15" s="1"/>
  <c r="G7" i="15" s="1"/>
  <c r="G40" i="12"/>
  <c r="E6" i="15" s="1"/>
  <c r="G6" i="15" s="1"/>
  <c r="A37" i="16"/>
  <c r="A36" i="16"/>
  <c r="A35" i="16"/>
  <c r="A34" i="16"/>
  <c r="A33" i="16"/>
  <c r="A32" i="16"/>
  <c r="A31" i="16"/>
  <c r="A30" i="16"/>
  <c r="A29" i="16"/>
  <c r="A28" i="16"/>
  <c r="A27" i="16"/>
  <c r="A26" i="16"/>
  <c r="A25" i="16"/>
  <c r="A24" i="16"/>
  <c r="A23" i="16"/>
  <c r="A22" i="16"/>
  <c r="A21" i="16"/>
  <c r="A20" i="16"/>
  <c r="A19" i="16"/>
  <c r="A18" i="16"/>
  <c r="A17" i="16"/>
  <c r="A16" i="16"/>
  <c r="A15" i="16"/>
  <c r="A14" i="16"/>
  <c r="A13" i="16"/>
  <c r="A12" i="16"/>
  <c r="A11" i="16"/>
  <c r="A10" i="16"/>
  <c r="A9" i="16"/>
  <c r="A8" i="16"/>
  <c r="A7" i="16"/>
  <c r="A6" i="16"/>
  <c r="A5" i="16"/>
  <c r="A4" i="16"/>
  <c r="A3" i="16"/>
  <c r="A8" i="15"/>
  <c r="A7" i="15"/>
  <c r="A6" i="15"/>
  <c r="A5" i="15"/>
  <c r="A4" i="15"/>
  <c r="A3" i="15"/>
  <c r="G25" i="12"/>
  <c r="F6" i="16" s="1"/>
  <c r="H6" i="16" s="1"/>
  <c r="I20" i="12" l="1"/>
  <c r="F36" i="12"/>
  <c r="G36" i="12" s="1"/>
  <c r="F16" i="16" s="1"/>
  <c r="H16" i="16" s="1"/>
  <c r="F35" i="12"/>
  <c r="G35" i="12" s="1"/>
  <c r="F15" i="16" s="1"/>
  <c r="H15" i="16" s="1"/>
  <c r="F32" i="12"/>
  <c r="G32" i="12" s="1"/>
  <c r="F12" i="16" s="1"/>
  <c r="H12" i="16" s="1"/>
  <c r="F34" i="12"/>
  <c r="G34" i="12" s="1"/>
  <c r="F14" i="16" s="1"/>
  <c r="H14" i="16" s="1"/>
  <c r="F33" i="12"/>
  <c r="G33" i="12" s="1"/>
  <c r="F13" i="16" s="1"/>
  <c r="H13" i="16" s="1"/>
  <c r="G29" i="12"/>
  <c r="F10" i="16" s="1"/>
  <c r="H10" i="16" s="1"/>
  <c r="G28" i="12"/>
  <c r="F9" i="16" s="1"/>
  <c r="H9" i="16" s="1"/>
  <c r="G30" i="12"/>
  <c r="F11" i="16" s="1"/>
  <c r="H11" i="16" s="1"/>
  <c r="I33" i="12" l="1"/>
  <c r="I34" i="12"/>
  <c r="I35" i="12"/>
  <c r="I36" i="12"/>
  <c r="G62" i="12" l="1"/>
  <c r="F36" i="16" s="1"/>
  <c r="H36" i="16" s="1"/>
  <c r="G53" i="12" l="1"/>
  <c r="F27" i="16" s="1"/>
  <c r="H27" i="16" s="1"/>
  <c r="G19" i="12"/>
  <c r="E4" i="15" s="1"/>
  <c r="G4" i="15" s="1"/>
  <c r="F18" i="12"/>
  <c r="G18" i="12" s="1"/>
  <c r="E3" i="15" s="1"/>
  <c r="G3" i="15" s="1"/>
  <c r="G60" i="12"/>
  <c r="F34" i="16" s="1"/>
  <c r="H34" i="16" s="1"/>
  <c r="G59" i="12"/>
  <c r="F33" i="16" s="1"/>
  <c r="H33" i="16" s="1"/>
  <c r="G58" i="12"/>
  <c r="F32" i="16" s="1"/>
  <c r="H32" i="16" s="1"/>
  <c r="G56" i="12"/>
  <c r="F30" i="16" s="1"/>
  <c r="H30" i="16" s="1"/>
  <c r="G55" i="12"/>
  <c r="F29" i="16" s="1"/>
  <c r="H29" i="16" s="1"/>
  <c r="G61" i="12"/>
  <c r="F35" i="16" s="1"/>
  <c r="H35" i="16" s="1"/>
  <c r="G9" i="15" l="1"/>
  <c r="I28" i="12"/>
  <c r="I29" i="12"/>
  <c r="I62" i="12"/>
  <c r="I30" i="12"/>
  <c r="G22" i="12"/>
  <c r="F3" i="16" s="1"/>
  <c r="H3" i="16" s="1"/>
  <c r="G23" i="12"/>
  <c r="F4" i="16" s="1"/>
  <c r="H4" i="16" s="1"/>
  <c r="G24" i="12"/>
  <c r="F5" i="16" s="1"/>
  <c r="H5" i="16" s="1"/>
  <c r="G26" i="12"/>
  <c r="F7" i="16" s="1"/>
  <c r="H7" i="16" s="1"/>
  <c r="G27" i="12"/>
  <c r="F8" i="16" s="1"/>
  <c r="H8" i="16" s="1"/>
  <c r="G43" i="12"/>
  <c r="F17" i="16" s="1"/>
  <c r="H17" i="16" s="1"/>
  <c r="G44" i="12"/>
  <c r="F18" i="16" s="1"/>
  <c r="H18" i="16" s="1"/>
  <c r="G45" i="12"/>
  <c r="F19" i="16" s="1"/>
  <c r="H19" i="16" s="1"/>
  <c r="G46" i="12"/>
  <c r="F20" i="16" s="1"/>
  <c r="H20" i="16" s="1"/>
  <c r="G47" i="12"/>
  <c r="F21" i="16" s="1"/>
  <c r="H21" i="16" s="1"/>
  <c r="G48" i="12"/>
  <c r="F22" i="16" s="1"/>
  <c r="H22" i="16" s="1"/>
  <c r="G49" i="12"/>
  <c r="F23" i="16" s="1"/>
  <c r="H23" i="16" s="1"/>
  <c r="G50" i="12"/>
  <c r="F24" i="16" s="1"/>
  <c r="H24" i="16" s="1"/>
  <c r="G51" i="12"/>
  <c r="F25" i="16" s="1"/>
  <c r="H25" i="16" s="1"/>
  <c r="G52" i="12"/>
  <c r="F26" i="16" s="1"/>
  <c r="H26" i="16" s="1"/>
  <c r="G54" i="12"/>
  <c r="F28" i="16" s="1"/>
  <c r="H28" i="16" s="1"/>
  <c r="G57" i="12"/>
  <c r="F31" i="16" s="1"/>
  <c r="H31" i="16" s="1"/>
  <c r="G63" i="12"/>
  <c r="F37" i="16" s="1"/>
  <c r="H37" i="16" s="1"/>
  <c r="I26" i="12"/>
  <c r="I43" i="12"/>
  <c r="I41" i="12"/>
  <c r="I40" i="12"/>
  <c r="I18" i="12"/>
  <c r="H38" i="16" l="1"/>
  <c r="I22" i="12"/>
  <c r="I27" i="12"/>
  <c r="I67" i="12"/>
  <c r="I66" i="12" s="1"/>
  <c r="I65" i="12" s="1"/>
  <c r="I46" i="12"/>
  <c r="I53" i="12"/>
  <c r="I23" i="12"/>
  <c r="I25" i="12"/>
  <c r="I47" i="12"/>
  <c r="I24" i="12"/>
  <c r="I50" i="12"/>
  <c r="I49" i="12"/>
  <c r="I60" i="12"/>
  <c r="I58" i="12"/>
  <c r="I59" i="12"/>
  <c r="I56" i="12"/>
  <c r="I55" i="12"/>
  <c r="I61" i="12"/>
  <c r="I44" i="12"/>
  <c r="I45" i="12"/>
  <c r="I48" i="12"/>
  <c r="I32" i="12"/>
  <c r="I31" i="12" s="1"/>
  <c r="I51" i="12"/>
  <c r="I39" i="12"/>
  <c r="I57" i="12"/>
  <c r="I63" i="12"/>
  <c r="I52" i="12"/>
  <c r="I54" i="12"/>
  <c r="I21" i="12" l="1"/>
  <c r="I42" i="12"/>
  <c r="I72" i="12"/>
  <c r="H39" i="16" l="1"/>
  <c r="I38" i="12"/>
  <c r="I19" i="12"/>
  <c r="I17" i="12" s="1"/>
  <c r="I71" i="12" s="1"/>
  <c r="G10" i="15" s="1"/>
  <c r="I16" i="12" l="1"/>
  <c r="I70" i="12" s="1"/>
  <c r="I73" i="12" s="1"/>
</calcChain>
</file>

<file path=xl/sharedStrings.xml><?xml version="1.0" encoding="utf-8"?>
<sst xmlns="http://schemas.openxmlformats.org/spreadsheetml/2006/main" count="319" uniqueCount="129">
  <si>
    <t>№</t>
  </si>
  <si>
    <t>Наименование</t>
  </si>
  <si>
    <t>Кол-во</t>
  </si>
  <si>
    <t>шт</t>
  </si>
  <si>
    <t>м</t>
  </si>
  <si>
    <t>шт.</t>
  </si>
  <si>
    <t>Аттенюатор F 135-12</t>
  </si>
  <si>
    <t>Заглушка 75 Ом 05-4081</t>
  </si>
  <si>
    <t>Цена</t>
  </si>
  <si>
    <t>Сумма</t>
  </si>
  <si>
    <t>Примечание</t>
  </si>
  <si>
    <t>Ед. изм.</t>
  </si>
  <si>
    <t xml:space="preserve">Внутренние инженерные сети </t>
  </si>
  <si>
    <t>Прокладка КПП, трубы</t>
  </si>
  <si>
    <t>Работа:</t>
  </si>
  <si>
    <t>Материалы:</t>
  </si>
  <si>
    <t>Установка оборудования</t>
  </si>
  <si>
    <t>в тч стоимость работ:</t>
  </si>
  <si>
    <t>в тч стоимость материалов:</t>
  </si>
  <si>
    <t>Устройство телевидения</t>
  </si>
  <si>
    <t>Марка</t>
  </si>
  <si>
    <t>Характеристика</t>
  </si>
  <si>
    <t>Монтаж антенны с усилителем и мачтой</t>
  </si>
  <si>
    <t>Монтаж изолятора с усилителем</t>
  </si>
  <si>
    <t>Примечание: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</si>
  <si>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</si>
  <si>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</si>
  <si>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</si>
  <si>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</si>
  <si>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</si>
  <si>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</si>
  <si>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</si>
  <si>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</si>
  <si>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</si>
  <si>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Прокладка КПП</t>
  </si>
  <si>
    <t>№ п/п</t>
  </si>
  <si>
    <t>ПНР</t>
  </si>
  <si>
    <t>Пусконаладочные работы</t>
  </si>
  <si>
    <t>комплекс</t>
  </si>
  <si>
    <t>11.13.</t>
  </si>
  <si>
    <t>11.13.01</t>
  </si>
  <si>
    <t>11.13.01.00</t>
  </si>
  <si>
    <t>11.13.02.</t>
  </si>
  <si>
    <t>11.13.02.00</t>
  </si>
  <si>
    <t>11.13.03.</t>
  </si>
  <si>
    <t>11.13.03.00</t>
  </si>
  <si>
    <t>Форма закупа материала</t>
  </si>
  <si>
    <t>Монтаж изолятора, усилителя, тв розеток в тч все прочие материалы</t>
  </si>
  <si>
    <t>Антенна</t>
  </si>
  <si>
    <t>к антенне  4.5м (алюминий)</t>
  </si>
  <si>
    <t>Мачта</t>
  </si>
  <si>
    <t>Изолятор земли</t>
  </si>
  <si>
    <t>ЛАНС ART-1</t>
  </si>
  <si>
    <t>Усилитель тип 1</t>
  </si>
  <si>
    <t>Усилитель тип 2</t>
  </si>
  <si>
    <t>Монтаж антенны, грозозащиты, мачты, усилителя</t>
  </si>
  <si>
    <t>Кабель тип 1</t>
  </si>
  <si>
    <t>Розетка</t>
  </si>
  <si>
    <t>Провод</t>
  </si>
  <si>
    <t>F-разъем на SAT-703</t>
  </si>
  <si>
    <t>Труба тип 1</t>
  </si>
  <si>
    <t>Труба тип 2</t>
  </si>
  <si>
    <t>Кабель тип 2</t>
  </si>
  <si>
    <t>ВВГнг(А)-LS-0,66</t>
  </si>
  <si>
    <t>ПуГВнг(А)-LS</t>
  </si>
  <si>
    <t>Автоматический выключатель номиналом 16А</t>
  </si>
  <si>
    <t>Труба тип 3</t>
  </si>
  <si>
    <t xml:space="preserve">Грозозащита - разрядник, ЛАНС </t>
  </si>
  <si>
    <t>ART-UV-1</t>
  </si>
  <si>
    <t>Усилитель мультидиапазонный  (47-862 МГц). 3 входов
TERRA MA-025</t>
  </si>
  <si>
    <t>Усилитель домовой 47…860 МГц, регулируемый, 220 В
TERRA НA-126</t>
  </si>
  <si>
    <t>Щит ЩМП-4 800x650x250</t>
  </si>
  <si>
    <t>Коробка 200x160x70 мм скрытой установки (с крышкой)</t>
  </si>
  <si>
    <t>Хомут трубный 1.1/2" 47-51 с резинкой, дюбелем, винтом М8</t>
  </si>
  <si>
    <t>Кабель коаксиальный распределительный SAT-703</t>
  </si>
  <si>
    <t>Кабель силовой с медными жилами в ПВХ изоляции негорючий сечением 3х2,5мм2</t>
  </si>
  <si>
    <t>Провод с медной жилой, гибкий сечением 6 мм2</t>
  </si>
  <si>
    <t>Труба ПЭ 20х2,0 PN12</t>
  </si>
  <si>
    <t>Труба гофрированная Ду 20мм ПВХ</t>
  </si>
  <si>
    <t>заземление</t>
  </si>
  <si>
    <t>Антенна ДМВ, "Сигнал профи", Зэтрон, 12,5дБ, АТКГ(В)-5.1.21-60.4 МИР 5 эл. МВ 1-3 канал</t>
  </si>
  <si>
    <t>F 135-12</t>
  </si>
  <si>
    <t>штепсельная для открытой проводки с 3-м заземляющим контактом 220В, 10 А</t>
  </si>
  <si>
    <t>05-4081</t>
  </si>
  <si>
    <t>SAT-703</t>
  </si>
  <si>
    <t>Ответвитель</t>
  </si>
  <si>
    <t>LA-4-24</t>
  </si>
  <si>
    <t>LA-4-20</t>
  </si>
  <si>
    <t>LA-4-18</t>
  </si>
  <si>
    <t>LA-4-16</t>
  </si>
  <si>
    <t>LA-4-14</t>
  </si>
  <si>
    <t>LA-4-12</t>
  </si>
  <si>
    <t>LA-4-10</t>
  </si>
  <si>
    <t>Делитель</t>
  </si>
  <si>
    <t>LA-2-10</t>
  </si>
  <si>
    <t>LV-4</t>
  </si>
  <si>
    <t>Устройство системы телевидения ГП-215.</t>
  </si>
  <si>
    <t>Монтажная пена Технониколь 240 PROFESSIONAL, огнестойкая, TN528380</t>
  </si>
  <si>
    <t>Огнезащитный силиконовый герметик Огнетитан SN однокомпонентный, серый 310 мл ТУ 2513-004-03495485-2016 БП-00000536</t>
  </si>
  <si>
    <t>Монтажная лента текстильная под пистолет</t>
  </si>
  <si>
    <t>м.</t>
  </si>
  <si>
    <t>Гвозди по бетону усиленные Toua 3.05x19 мм, под пистолет.  (1000шт. в пч.)</t>
  </si>
  <si>
    <t>гладкая ПВХ диаметром 50мм</t>
  </si>
  <si>
    <t xml:space="preserve"> Труба электросварная 76х3,5</t>
  </si>
  <si>
    <t>Труба тип 5</t>
  </si>
  <si>
    <t>Металлорукав в ПВХ изоляции РЗ-ЦП 16</t>
  </si>
  <si>
    <t>Труба тип 4</t>
  </si>
  <si>
    <t>ГП-215.1</t>
  </si>
  <si>
    <r>
      <t xml:space="preserve">Прочие материалы </t>
    </r>
    <r>
      <rPr>
        <sz val="10"/>
        <rFont val="Arial Narrow"/>
        <family val="2"/>
        <charset val="204"/>
      </rPr>
      <t>(Хомут трубный 1.1/2" 47-51 с резинкой, дюбелем, винтом М8, Монтажная пена Технониколь 240 PROFESSIONAL, огнестойкая, TN528380, Огнезащитный силиконовый герметик Огнетитан SN однокомпонентный, серый 310 мл ТУ 2513-004-03495485-2016 БП-00000536, Монтажная лента текстильная под пистолет, Гвозди по бетону усиленные Toua 3.05x19 мм, под пистолет.  (1000шт. в пч.))</t>
    </r>
  </si>
  <si>
    <t>Ведомость объемов работ</t>
  </si>
  <si>
    <t>ИТОГО:</t>
  </si>
  <si>
    <t>проверка:</t>
  </si>
  <si>
    <t>Спецификация материалов</t>
  </si>
  <si>
    <t xml:space="preserve">Ответвитель </t>
  </si>
  <si>
    <t xml:space="preserve">Ответвитель  </t>
  </si>
  <si>
    <t xml:space="preserve">Ответвитель   </t>
  </si>
  <si>
    <t xml:space="preserve">Ответвитель    </t>
  </si>
  <si>
    <t xml:space="preserve">Ответвитель     </t>
  </si>
  <si>
    <t xml:space="preserve">Ответвитель      </t>
  </si>
  <si>
    <t xml:space="preserve">Ответвитель        </t>
  </si>
  <si>
    <t>Итого по ЛСР, в т.ч. НДС:</t>
  </si>
  <si>
    <t>в тч НДС 22%:</t>
  </si>
  <si>
    <t>Локальный сметный расчет №</t>
  </si>
  <si>
    <t>ООО "ЭНКО СТРОЙ"</t>
  </si>
  <si>
    <t>ООО "Технический заказчик "ЭНКО"</t>
  </si>
  <si>
    <t>_________________/</t>
  </si>
  <si>
    <t>___________/С.И. Ярков</t>
  </si>
  <si>
    <t>Прокладка трубы</t>
  </si>
  <si>
    <t>Прокладка металлорукава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</si>
</sst>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 Narrow"/>
      <family val="2"/>
      <charset val="204"/>
    </font>
    <font>
      <b/>
      <i/>
      <sz val="10"/>
      <color theme="1"/>
      <name val="Arial Narrow"/>
      <family val="2"/>
      <charset val="204"/>
    </font>
    <font>
      <b/>
      <i/>
      <u/>
      <sz val="10"/>
      <name val="Arial Narrow"/>
      <family val="2"/>
      <charset val="204"/>
    </font>
    <font>
      <sz val="10"/>
      <color rgb="FFFF0000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5" fillId="0" borderId="0"/>
    <xf numFmtId="0" fontId="4" fillId="0" borderId="0"/>
    <xf numFmtId="0" fontId="6" fillId="0" borderId="0"/>
    <xf numFmtId="0" fontId="5" fillId="0" borderId="0"/>
    <xf numFmtId="0" fontId="3" fillId="0" borderId="0"/>
    <xf numFmtId="0" fontId="3" fillId="0" borderId="0"/>
    <xf numFmtId="0" fontId="2" fillId="0" borderId="0"/>
    <xf numFmtId="0" fontId="8" fillId="0" borderId="0"/>
    <xf numFmtId="0" fontId="1" fillId="0" borderId="0"/>
  </cellStyleXfs>
  <cellXfs count="129">
    <xf numFmtId="0" fontId="0" fillId="0" borderId="0" xfId="0"/>
    <xf numFmtId="49" fontId="9" fillId="0" borderId="0" xfId="0" applyNumberFormat="1" applyFont="1"/>
    <xf numFmtId="0" fontId="9" fillId="0" borderId="0" xfId="0" applyFont="1" applyAlignment="1">
      <alignment wrapText="1"/>
    </xf>
    <xf numFmtId="0" fontId="9" fillId="0" borderId="0" xfId="0" applyFont="1"/>
    <xf numFmtId="4" fontId="10" fillId="0" borderId="0" xfId="0" applyNumberFormat="1" applyFont="1"/>
    <xf numFmtId="4" fontId="9" fillId="0" borderId="0" xfId="0" applyNumberFormat="1" applyFont="1"/>
    <xf numFmtId="49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4" fontId="10" fillId="0" borderId="0" xfId="0" applyNumberFormat="1" applyFont="1" applyAlignment="1">
      <alignment horizontal="center"/>
    </xf>
    <xf numFmtId="49" fontId="11" fillId="0" borderId="4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49" fontId="11" fillId="6" borderId="5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left" vertical="center" wrapText="1"/>
    </xf>
    <xf numFmtId="0" fontId="11" fillId="6" borderId="1" xfId="0" applyFont="1" applyFill="1" applyBorder="1" applyAlignment="1">
      <alignment horizontal="center" vertical="center" wrapText="1"/>
    </xf>
    <xf numFmtId="4" fontId="11" fillId="6" borderId="1" xfId="0" applyNumberFormat="1" applyFont="1" applyFill="1" applyBorder="1" applyAlignment="1">
      <alignment horizontal="center" vertical="center" wrapText="1"/>
    </xf>
    <xf numFmtId="49" fontId="11" fillId="2" borderId="5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9" fontId="11" fillId="5" borderId="5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 wrapText="1"/>
    </xf>
    <xf numFmtId="4" fontId="11" fillId="5" borderId="1" xfId="0" applyNumberFormat="1" applyFont="1" applyFill="1" applyBorder="1" applyAlignment="1">
      <alignment horizontal="center" vertical="center" wrapText="1"/>
    </xf>
    <xf numFmtId="49" fontId="10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9" fillId="7" borderId="1" xfId="0" applyFont="1" applyFill="1" applyBorder="1" applyAlignment="1">
      <alignment horizontal="left" vertical="center" wrapText="1"/>
    </xf>
    <xf numFmtId="0" fontId="9" fillId="7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49" fontId="9" fillId="2" borderId="1" xfId="0" applyNumberFormat="1" applyFont="1" applyFill="1" applyBorder="1"/>
    <xf numFmtId="49" fontId="9" fillId="0" borderId="1" xfId="0" applyNumberFormat="1" applyFont="1" applyBorder="1"/>
    <xf numFmtId="49" fontId="9" fillId="0" borderId="1" xfId="0" applyNumberFormat="1" applyFont="1" applyBorder="1" applyAlignment="1">
      <alignment horizontal="center" vertical="center" wrapText="1"/>
    </xf>
    <xf numFmtId="49" fontId="10" fillId="5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4" fontId="10" fillId="5" borderId="1" xfId="0" applyNumberFormat="1" applyFont="1" applyFill="1" applyBorder="1" applyAlignment="1">
      <alignment horizontal="center" vertical="center"/>
    </xf>
    <xf numFmtId="4" fontId="9" fillId="5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4" fontId="10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right" vertical="center"/>
    </xf>
    <xf numFmtId="49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right" vertical="center"/>
    </xf>
    <xf numFmtId="4" fontId="13" fillId="2" borderId="1" xfId="0" applyNumberFormat="1" applyFont="1" applyFill="1" applyBorder="1" applyAlignment="1" applyProtection="1">
      <alignment horizontal="center" vertical="center"/>
      <protection locked="0"/>
    </xf>
    <xf numFmtId="49" fontId="12" fillId="3" borderId="0" xfId="0" applyNumberFormat="1" applyFont="1" applyFill="1" applyAlignment="1">
      <alignment horizontal="center" vertical="center"/>
    </xf>
    <xf numFmtId="0" fontId="14" fillId="3" borderId="0" xfId="0" applyFont="1" applyFill="1" applyAlignment="1">
      <alignment vertical="center" wrapText="1"/>
    </xf>
    <xf numFmtId="0" fontId="12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3" borderId="0" xfId="0" applyFont="1" applyFill="1" applyAlignment="1">
      <alignment vertical="center" wrapText="1"/>
    </xf>
    <xf numFmtId="0" fontId="9" fillId="0" borderId="0" xfId="8" applyFont="1"/>
    <xf numFmtId="0" fontId="9" fillId="0" borderId="1" xfId="8" applyFont="1" applyBorder="1"/>
    <xf numFmtId="0" fontId="11" fillId="0" borderId="1" xfId="8" applyFont="1" applyBorder="1" applyAlignment="1">
      <alignment horizontal="center" vertical="center" wrapText="1"/>
    </xf>
    <xf numFmtId="164" fontId="10" fillId="0" borderId="1" xfId="8" applyNumberFormat="1" applyFont="1" applyBorder="1" applyAlignment="1">
      <alignment horizontal="center" vertical="center" wrapText="1"/>
    </xf>
    <xf numFmtId="4" fontId="11" fillId="0" borderId="1" xfId="8" applyNumberFormat="1" applyFont="1" applyBorder="1" applyAlignment="1">
      <alignment horizontal="center" vertical="center" wrapText="1"/>
    </xf>
    <xf numFmtId="0" fontId="9" fillId="0" borderId="1" xfId="8" applyFont="1" applyBorder="1" applyAlignment="1">
      <alignment horizontal="center" vertical="center"/>
    </xf>
    <xf numFmtId="4" fontId="9" fillId="0" borderId="1" xfId="8" applyNumberFormat="1" applyFont="1" applyBorder="1" applyAlignment="1">
      <alignment horizontal="center" vertical="center"/>
    </xf>
    <xf numFmtId="0" fontId="9" fillId="0" borderId="1" xfId="8" applyFont="1" applyBorder="1" applyAlignment="1">
      <alignment horizontal="center" wrapText="1"/>
    </xf>
    <xf numFmtId="0" fontId="9" fillId="0" borderId="1" xfId="8" applyFont="1" applyBorder="1" applyAlignment="1">
      <alignment horizontal="left" vertical="center"/>
    </xf>
    <xf numFmtId="0" fontId="9" fillId="0" borderId="0" xfId="8" applyFont="1" applyAlignment="1">
      <alignment horizontal="right"/>
    </xf>
    <xf numFmtId="4" fontId="10" fillId="0" borderId="0" xfId="8" applyNumberFormat="1" applyFont="1" applyAlignment="1">
      <alignment horizontal="center" vertical="center"/>
    </xf>
    <xf numFmtId="4" fontId="9" fillId="0" borderId="0" xfId="8" applyNumberFormat="1" applyFont="1" applyAlignment="1">
      <alignment horizontal="center" vertical="center"/>
    </xf>
    <xf numFmtId="0" fontId="14" fillId="0" borderId="0" xfId="8" applyFont="1" applyAlignment="1">
      <alignment vertical="center" wrapText="1"/>
    </xf>
    <xf numFmtId="0" fontId="9" fillId="0" borderId="0" xfId="8" applyFont="1" applyAlignment="1">
      <alignment wrapText="1"/>
    </xf>
    <xf numFmtId="0" fontId="10" fillId="0" borderId="0" xfId="8" applyFont="1"/>
    <xf numFmtId="4" fontId="9" fillId="0" borderId="0" xfId="8" applyNumberFormat="1" applyFont="1"/>
    <xf numFmtId="4" fontId="9" fillId="0" borderId="0" xfId="8" applyNumberFormat="1" applyFont="1" applyAlignment="1">
      <alignment wrapText="1"/>
    </xf>
    <xf numFmtId="49" fontId="12" fillId="0" borderId="0" xfId="8" applyNumberFormat="1" applyFont="1" applyAlignment="1">
      <alignment horizontal="center" vertical="center"/>
    </xf>
    <xf numFmtId="0" fontId="12" fillId="0" borderId="0" xfId="9" applyFont="1" applyAlignment="1">
      <alignment vertical="center" wrapText="1"/>
    </xf>
    <xf numFmtId="0" fontId="15" fillId="0" borderId="0" xfId="9" applyFont="1" applyAlignment="1">
      <alignment vertical="center" wrapText="1"/>
    </xf>
    <xf numFmtId="0" fontId="12" fillId="0" borderId="0" xfId="8" applyFont="1" applyAlignment="1">
      <alignment horizontal="center" vertical="center"/>
    </xf>
    <xf numFmtId="0" fontId="15" fillId="0" borderId="0" xfId="9" applyFont="1" applyAlignment="1">
      <alignment vertical="top" wrapText="1"/>
    </xf>
    <xf numFmtId="0" fontId="12" fillId="0" borderId="0" xfId="8" applyFont="1" applyAlignment="1">
      <alignment vertical="center"/>
    </xf>
    <xf numFmtId="0" fontId="15" fillId="0" borderId="0" xfId="8" applyFont="1" applyAlignment="1">
      <alignment vertical="top" wrapText="1"/>
    </xf>
    <xf numFmtId="0" fontId="8" fillId="0" borderId="0" xfId="8"/>
    <xf numFmtId="49" fontId="11" fillId="0" borderId="1" xfId="8" applyNumberFormat="1" applyFont="1" applyBorder="1" applyAlignment="1">
      <alignment horizontal="center" vertical="center" wrapText="1"/>
    </xf>
    <xf numFmtId="0" fontId="8" fillId="0" borderId="1" xfId="8" applyBorder="1" applyAlignment="1">
      <alignment vertical="center" wrapText="1"/>
    </xf>
    <xf numFmtId="0" fontId="8" fillId="0" borderId="1" xfId="8" applyBorder="1" applyAlignment="1">
      <alignment horizontal="center" vertical="center"/>
    </xf>
    <xf numFmtId="0" fontId="8" fillId="0" borderId="1" xfId="8" applyBorder="1" applyAlignment="1">
      <alignment horizontal="center" vertical="center" wrapText="1"/>
    </xf>
    <xf numFmtId="4" fontId="8" fillId="0" borderId="1" xfId="8" applyNumberFormat="1" applyBorder="1" applyAlignment="1">
      <alignment horizontal="center" vertical="center"/>
    </xf>
    <xf numFmtId="4" fontId="12" fillId="2" borderId="2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/>
    </xf>
    <xf numFmtId="4" fontId="11" fillId="2" borderId="2" xfId="0" applyNumberFormat="1" applyFont="1" applyFill="1" applyBorder="1" applyAlignment="1">
      <alignment horizontal="center" vertical="center" wrapText="1"/>
    </xf>
    <xf numFmtId="4" fontId="9" fillId="4" borderId="1" xfId="0" applyNumberFormat="1" applyFont="1" applyFill="1" applyBorder="1" applyAlignment="1">
      <alignment horizontal="center" vertical="center"/>
    </xf>
    <xf numFmtId="4" fontId="9" fillId="0" borderId="0" xfId="9" applyNumberFormat="1" applyFont="1"/>
    <xf numFmtId="4" fontId="10" fillId="0" borderId="0" xfId="9" applyNumberFormat="1" applyFont="1"/>
    <xf numFmtId="164" fontId="10" fillId="0" borderId="0" xfId="0" applyNumberFormat="1" applyFont="1"/>
    <xf numFmtId="164" fontId="9" fillId="0" borderId="0" xfId="0" applyNumberFormat="1" applyFont="1"/>
    <xf numFmtId="0" fontId="9" fillId="0" borderId="0" xfId="9" applyFont="1" applyAlignment="1">
      <alignment horizontal="right"/>
    </xf>
    <xf numFmtId="0" fontId="10" fillId="0" borderId="0" xfId="9" applyFont="1" applyAlignment="1">
      <alignment vertical="center"/>
    </xf>
    <xf numFmtId="0" fontId="10" fillId="0" borderId="0" xfId="9" applyFont="1"/>
    <xf numFmtId="0" fontId="9" fillId="0" borderId="0" xfId="0" applyFont="1" applyAlignment="1">
      <alignment vertical="center" wrapText="1"/>
    </xf>
    <xf numFmtId="0" fontId="12" fillId="0" borderId="0" xfId="7" applyFont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2" fillId="0" borderId="0" xfId="7" applyFont="1" applyAlignment="1">
      <alignment horizontal="left" vertical="center" wrapText="1"/>
    </xf>
    <xf numFmtId="0" fontId="12" fillId="0" borderId="0" xfId="9" applyFont="1" applyAlignment="1">
      <alignment horizontal="left" vertical="top" wrapText="1"/>
    </xf>
  </cellXfs>
  <cellStyles count="10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" xfId="7" xr:uid="{59E7F173-0C37-468A-80F8-B505EEF5C601}"/>
    <cellStyle name="Обычный 3 2 2 2" xfId="9" xr:uid="{DD8116D4-3D20-4A3D-B90D-2822112D603B}"/>
    <cellStyle name="Обычный 4" xfId="6" xr:uid="{7892ACDF-4C85-4A72-893C-533698B7DF97}"/>
    <cellStyle name="Обычный 5" xfId="8" xr:uid="{68E2CD60-9A07-42B7-9A9F-5732985F2E18}"/>
    <cellStyle name="Обычный 6 3 7 2 3" xfId="5" xr:uid="{CD7D9DDE-D035-4BB0-B7C7-72E2C2D85135}"/>
  </cellStyles>
  <dxfs count="5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7;&#1074;&#1077;&#1090;&#1083;&#1072;&#1085;&#1072;/AppData/Roaming/Microsoft/Excel/20-10_2017-12-&#1042;&#1050;%20&#1057;&#1087;&#1077;&#1094;&#1080;&#1092;&#1080;&#1082;&#1072;&#1094;&#1080;&#1103;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1"/>
      <sheetName val="лист 2"/>
      <sheetName val="лист 3"/>
      <sheetName val="лист 7"/>
      <sheetName val="лист 8"/>
      <sheetName val="Тестовый"/>
      <sheetName val="Первый"/>
      <sheetName val="Второй"/>
      <sheetName val="Переменны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ED1CB-7C93-4EDB-91EA-77B164F7C290}">
  <sheetPr>
    <pageSetUpPr fitToPage="1"/>
  </sheetPr>
  <dimension ref="A1:K79"/>
  <sheetViews>
    <sheetView tabSelected="1" topLeftCell="A16" zoomScale="70" zoomScaleNormal="70" zoomScaleSheetLayoutView="80" workbookViewId="0">
      <selection activeCell="C25" sqref="C25"/>
    </sheetView>
  </sheetViews>
  <sheetFormatPr defaultColWidth="9.109375" defaultRowHeight="13.8" outlineLevelRow="1" x14ac:dyDescent="0.3"/>
  <cols>
    <col min="1" max="1" width="13" style="1" bestFit="1" customWidth="1"/>
    <col min="2" max="2" width="71" style="2" customWidth="1"/>
    <col min="3" max="3" width="20.88671875" style="3" customWidth="1"/>
    <col min="4" max="4" width="31" style="2" customWidth="1"/>
    <col min="5" max="5" width="15.88671875" style="3" bestFit="1" customWidth="1"/>
    <col min="6" max="6" width="15.88671875" style="3" customWidth="1"/>
    <col min="7" max="7" width="15.44140625" style="4" bestFit="1" customWidth="1"/>
    <col min="8" max="8" width="17.44140625" style="5" customWidth="1"/>
    <col min="9" max="9" width="21.109375" style="5" customWidth="1"/>
    <col min="10" max="10" width="34.44140625" style="3" customWidth="1"/>
    <col min="11" max="11" width="26.33203125" style="3" customWidth="1"/>
    <col min="12" max="16384" width="9.109375" style="3"/>
  </cols>
  <sheetData>
    <row r="1" spans="1:11" x14ac:dyDescent="0.3">
      <c r="C1" s="45"/>
      <c r="D1" s="117"/>
      <c r="F1" s="118"/>
      <c r="G1" s="3"/>
      <c r="H1" s="119"/>
      <c r="I1" s="120"/>
      <c r="J1" s="120"/>
      <c r="K1" s="121" t="s">
        <v>29</v>
      </c>
    </row>
    <row r="2" spans="1:11" x14ac:dyDescent="0.3">
      <c r="C2" s="45"/>
      <c r="D2" s="117"/>
      <c r="F2" s="118"/>
      <c r="G2" s="3"/>
      <c r="H2" s="119"/>
      <c r="I2" s="120"/>
      <c r="J2" s="120"/>
      <c r="K2" s="121" t="s">
        <v>30</v>
      </c>
    </row>
    <row r="3" spans="1:11" x14ac:dyDescent="0.3">
      <c r="C3" s="45"/>
      <c r="D3" s="117"/>
      <c r="F3" s="118"/>
      <c r="G3" s="3"/>
      <c r="H3" s="119"/>
      <c r="I3" s="120"/>
      <c r="J3" s="120"/>
    </row>
    <row r="4" spans="1:11" ht="15" customHeight="1" x14ac:dyDescent="0.3">
      <c r="B4" s="122" t="s">
        <v>31</v>
      </c>
      <c r="D4" s="117"/>
      <c r="E4" s="118" t="s">
        <v>32</v>
      </c>
      <c r="F4" s="123"/>
      <c r="G4" s="3"/>
      <c r="H4" s="119"/>
      <c r="I4" s="120"/>
      <c r="J4" s="118" t="s">
        <v>33</v>
      </c>
      <c r="K4" s="119"/>
    </row>
    <row r="5" spans="1:11" ht="19.5" customHeight="1" x14ac:dyDescent="0.3">
      <c r="B5" s="124"/>
      <c r="D5" s="117"/>
      <c r="E5" s="3" t="s">
        <v>123</v>
      </c>
      <c r="G5" s="3"/>
      <c r="H5" s="3"/>
      <c r="I5" s="4"/>
      <c r="J5" s="3" t="s">
        <v>124</v>
      </c>
      <c r="K5" s="119"/>
    </row>
    <row r="6" spans="1:11" ht="15.75" customHeight="1" x14ac:dyDescent="0.3">
      <c r="B6" s="124"/>
      <c r="D6" s="117"/>
      <c r="E6" s="2"/>
      <c r="G6" s="3"/>
      <c r="H6" s="3"/>
      <c r="I6" s="4"/>
      <c r="K6" s="119"/>
    </row>
    <row r="7" spans="1:11" x14ac:dyDescent="0.3">
      <c r="B7" s="124" t="s">
        <v>125</v>
      </c>
      <c r="D7" s="117"/>
      <c r="E7" s="3" t="s">
        <v>126</v>
      </c>
      <c r="G7" s="3"/>
      <c r="H7" s="3"/>
      <c r="I7" s="4"/>
      <c r="J7" s="3" t="s">
        <v>126</v>
      </c>
      <c r="K7" s="119"/>
    </row>
    <row r="8" spans="1:11" x14ac:dyDescent="0.3">
      <c r="B8" s="124"/>
      <c r="D8" s="117"/>
      <c r="G8" s="3"/>
      <c r="H8" s="3"/>
      <c r="I8" s="4"/>
      <c r="K8" s="119"/>
    </row>
    <row r="9" spans="1:11" s="7" customFormat="1" x14ac:dyDescent="0.3">
      <c r="A9" s="6"/>
      <c r="D9" s="8"/>
      <c r="E9" s="7" t="s">
        <v>122</v>
      </c>
      <c r="G9" s="9"/>
    </row>
    <row r="10" spans="1:11" s="7" customFormat="1" x14ac:dyDescent="0.3">
      <c r="A10" s="6"/>
      <c r="D10" s="8"/>
      <c r="E10" s="7" t="s">
        <v>96</v>
      </c>
      <c r="G10" s="9"/>
    </row>
    <row r="12" spans="1:11" x14ac:dyDescent="0.3">
      <c r="A12" s="10" t="s">
        <v>0</v>
      </c>
      <c r="B12" s="11" t="s">
        <v>1</v>
      </c>
      <c r="C12" s="11" t="s">
        <v>20</v>
      </c>
      <c r="D12" s="11" t="s">
        <v>21</v>
      </c>
      <c r="E12" s="11" t="s">
        <v>11</v>
      </c>
      <c r="F12" s="11" t="s">
        <v>107</v>
      </c>
      <c r="G12" s="12" t="s">
        <v>2</v>
      </c>
      <c r="H12" s="12" t="s">
        <v>8</v>
      </c>
      <c r="I12" s="12" t="s">
        <v>9</v>
      </c>
      <c r="J12" s="12" t="s">
        <v>10</v>
      </c>
      <c r="K12" s="12" t="s">
        <v>46</v>
      </c>
    </row>
    <row r="13" spans="1:11" x14ac:dyDescent="0.3">
      <c r="A13" s="13">
        <v>11</v>
      </c>
      <c r="B13" s="14" t="s">
        <v>12</v>
      </c>
      <c r="C13" s="15"/>
      <c r="D13" s="15"/>
      <c r="E13" s="15"/>
      <c r="F13" s="15"/>
      <c r="G13" s="16"/>
      <c r="H13" s="16"/>
      <c r="I13" s="16"/>
      <c r="J13" s="16"/>
      <c r="K13" s="16"/>
    </row>
    <row r="14" spans="1:11" x14ac:dyDescent="0.3">
      <c r="A14" s="17" t="s">
        <v>39</v>
      </c>
      <c r="B14" s="18" t="s">
        <v>19</v>
      </c>
      <c r="C14" s="19"/>
      <c r="D14" s="19"/>
      <c r="E14" s="19"/>
      <c r="F14" s="19"/>
      <c r="G14" s="20"/>
      <c r="H14" s="20"/>
      <c r="I14" s="20"/>
      <c r="J14" s="20"/>
      <c r="K14" s="20"/>
    </row>
    <row r="15" spans="1:11" x14ac:dyDescent="0.3">
      <c r="A15" s="21" t="s">
        <v>40</v>
      </c>
      <c r="B15" s="22" t="s">
        <v>13</v>
      </c>
      <c r="C15" s="23"/>
      <c r="D15" s="23"/>
      <c r="E15" s="23"/>
      <c r="F15" s="23"/>
      <c r="G15" s="24"/>
      <c r="H15" s="24"/>
      <c r="I15" s="24"/>
      <c r="J15" s="24"/>
      <c r="K15" s="24"/>
    </row>
    <row r="16" spans="1:11" x14ac:dyDescent="0.3">
      <c r="A16" s="25" t="s">
        <v>41</v>
      </c>
      <c r="B16" s="26" t="s">
        <v>13</v>
      </c>
      <c r="C16" s="27"/>
      <c r="D16" s="27"/>
      <c r="E16" s="27"/>
      <c r="F16" s="27"/>
      <c r="G16" s="28"/>
      <c r="H16" s="28"/>
      <c r="I16" s="28">
        <f>I17+I21</f>
        <v>0</v>
      </c>
      <c r="J16" s="28"/>
      <c r="K16" s="28"/>
    </row>
    <row r="17" spans="1:11" x14ac:dyDescent="0.3">
      <c r="A17" s="29"/>
      <c r="B17" s="18" t="s">
        <v>14</v>
      </c>
      <c r="C17" s="30"/>
      <c r="D17" s="30"/>
      <c r="E17" s="30"/>
      <c r="F17" s="30"/>
      <c r="G17" s="20"/>
      <c r="H17" s="20"/>
      <c r="I17" s="20">
        <f>SUM(I18:I20)</f>
        <v>0</v>
      </c>
      <c r="J17" s="20"/>
      <c r="K17" s="20"/>
    </row>
    <row r="18" spans="1:11" x14ac:dyDescent="0.3">
      <c r="A18" s="29"/>
      <c r="B18" s="31" t="s">
        <v>34</v>
      </c>
      <c r="C18" s="32"/>
      <c r="D18" s="32"/>
      <c r="E18" s="32" t="s">
        <v>4</v>
      </c>
      <c r="F18" s="112">
        <f>SUM(F22:F24)</f>
        <v>2290</v>
      </c>
      <c r="G18" s="20">
        <f>SUM(F18:F18)</f>
        <v>2290</v>
      </c>
      <c r="H18" s="33">
        <f>VLOOKUP(B18,СМР!$B$3:$F$8,5,0)</f>
        <v>0</v>
      </c>
      <c r="I18" s="34">
        <f t="shared" ref="I18:I19" si="0">H18*G18</f>
        <v>0</v>
      </c>
      <c r="J18" s="20"/>
      <c r="K18" s="20"/>
    </row>
    <row r="19" spans="1:11" x14ac:dyDescent="0.3">
      <c r="A19" s="29"/>
      <c r="B19" s="31" t="s">
        <v>127</v>
      </c>
      <c r="C19" s="32"/>
      <c r="D19" s="32"/>
      <c r="E19" s="32" t="s">
        <v>4</v>
      </c>
      <c r="F19" s="112">
        <f>SUM(F25:F28)</f>
        <v>2012</v>
      </c>
      <c r="G19" s="20">
        <f>SUM(F19:F19)</f>
        <v>2012</v>
      </c>
      <c r="H19" s="33">
        <f>VLOOKUP(B19,СМР!$B$3:$F$8,5,0)</f>
        <v>0</v>
      </c>
      <c r="I19" s="34">
        <f t="shared" si="0"/>
        <v>0</v>
      </c>
      <c r="J19" s="20"/>
      <c r="K19" s="20"/>
    </row>
    <row r="20" spans="1:11" x14ac:dyDescent="0.3">
      <c r="A20" s="29"/>
      <c r="B20" s="31" t="s">
        <v>128</v>
      </c>
      <c r="C20" s="32"/>
      <c r="D20" s="32"/>
      <c r="E20" s="32" t="s">
        <v>4</v>
      </c>
      <c r="F20" s="112">
        <f t="shared" ref="F20" si="1">F29</f>
        <v>50</v>
      </c>
      <c r="G20" s="20">
        <f t="shared" ref="G20" si="2">SUM(F20:F20)</f>
        <v>50</v>
      </c>
      <c r="H20" s="33">
        <f>VLOOKUP(B20,СМР!$B$3:$F$8,5,0)</f>
        <v>0</v>
      </c>
      <c r="I20" s="34">
        <f t="shared" ref="I20" si="3">H20*G20</f>
        <v>0</v>
      </c>
      <c r="J20" s="20"/>
      <c r="K20" s="20"/>
    </row>
    <row r="21" spans="1:11" x14ac:dyDescent="0.3">
      <c r="A21" s="35"/>
      <c r="B21" s="36" t="s">
        <v>15</v>
      </c>
      <c r="C21" s="37"/>
      <c r="D21" s="37"/>
      <c r="E21" s="37"/>
      <c r="F21" s="113"/>
      <c r="G21" s="38"/>
      <c r="H21" s="38"/>
      <c r="I21" s="38">
        <f>SUM(I22:I31)</f>
        <v>0</v>
      </c>
      <c r="J21" s="38"/>
      <c r="K21" s="38"/>
    </row>
    <row r="22" spans="1:11" s="45" customFormat="1" ht="27.6" x14ac:dyDescent="0.3">
      <c r="A22" s="39"/>
      <c r="B22" s="40" t="s">
        <v>56</v>
      </c>
      <c r="C22" s="41"/>
      <c r="D22" s="42" t="s">
        <v>74</v>
      </c>
      <c r="E22" s="41" t="s">
        <v>4</v>
      </c>
      <c r="F22" s="44">
        <v>2100</v>
      </c>
      <c r="G22" s="43">
        <f t="shared" ref="G22:G36" si="4">SUM(F22:F22)</f>
        <v>2100</v>
      </c>
      <c r="H22" s="44">
        <f>VLOOKUP(B22,ТМЦ!$B$3:$J$37,6,0)</f>
        <v>0</v>
      </c>
      <c r="I22" s="44">
        <f t="shared" ref="I22:I32" si="5">H22*G22</f>
        <v>0</v>
      </c>
      <c r="J22" s="41"/>
      <c r="K22" s="44">
        <f>VLOOKUP(B22,ТМЦ!$B$3:$J$37,9,0)</f>
        <v>0</v>
      </c>
    </row>
    <row r="23" spans="1:11" s="45" customFormat="1" ht="41.4" x14ac:dyDescent="0.3">
      <c r="A23" s="39"/>
      <c r="B23" s="40" t="s">
        <v>62</v>
      </c>
      <c r="C23" s="41" t="s">
        <v>63</v>
      </c>
      <c r="D23" s="42" t="s">
        <v>75</v>
      </c>
      <c r="E23" s="41" t="s">
        <v>4</v>
      </c>
      <c r="F23" s="44">
        <v>180</v>
      </c>
      <c r="G23" s="43">
        <f t="shared" si="4"/>
        <v>180</v>
      </c>
      <c r="H23" s="44">
        <f>VLOOKUP(B23,ТМЦ!$B$3:$J$37,6,0)</f>
        <v>0</v>
      </c>
      <c r="I23" s="44">
        <f>H23*G23</f>
        <v>0</v>
      </c>
      <c r="J23" s="41"/>
      <c r="K23" s="44">
        <f>VLOOKUP(B23,ТМЦ!$B$3:$J$37,9,0)</f>
        <v>0</v>
      </c>
    </row>
    <row r="24" spans="1:11" s="45" customFormat="1" ht="27.6" x14ac:dyDescent="0.3">
      <c r="A24" s="39"/>
      <c r="B24" s="46" t="s">
        <v>58</v>
      </c>
      <c r="C24" s="47" t="s">
        <v>64</v>
      </c>
      <c r="D24" s="48" t="s">
        <v>76</v>
      </c>
      <c r="E24" s="41" t="s">
        <v>4</v>
      </c>
      <c r="F24" s="44">
        <v>10</v>
      </c>
      <c r="G24" s="43">
        <f t="shared" si="4"/>
        <v>10</v>
      </c>
      <c r="H24" s="44">
        <f>VLOOKUP(B24,ТМЦ!$B$3:$J$37,6,0)</f>
        <v>0</v>
      </c>
      <c r="I24" s="44">
        <f t="shared" si="5"/>
        <v>0</v>
      </c>
      <c r="J24" s="41" t="s">
        <v>79</v>
      </c>
      <c r="K24" s="44">
        <f>VLOOKUP(B24,ТМЦ!$B$3:$J$37,9,0)</f>
        <v>0</v>
      </c>
    </row>
    <row r="25" spans="1:11" s="45" customFormat="1" ht="33" customHeight="1" x14ac:dyDescent="0.3">
      <c r="A25" s="39"/>
      <c r="B25" s="46" t="s">
        <v>60</v>
      </c>
      <c r="C25" s="47"/>
      <c r="D25" s="48" t="s">
        <v>77</v>
      </c>
      <c r="E25" s="41" t="s">
        <v>4</v>
      </c>
      <c r="F25" s="44">
        <v>1660</v>
      </c>
      <c r="G25" s="43">
        <f t="shared" si="4"/>
        <v>1660</v>
      </c>
      <c r="H25" s="44">
        <f>VLOOKUP(B25,ТМЦ!$B$3:$J$37,6,0)</f>
        <v>0</v>
      </c>
      <c r="I25" s="44">
        <f t="shared" ref="I25" si="6">H25*G25</f>
        <v>0</v>
      </c>
      <c r="J25" s="41"/>
      <c r="K25" s="44">
        <f>VLOOKUP(B25,ТМЦ!$B$3:$J$37,9,0)</f>
        <v>0</v>
      </c>
    </row>
    <row r="26" spans="1:11" s="45" customFormat="1" x14ac:dyDescent="0.3">
      <c r="A26" s="39"/>
      <c r="B26" s="46" t="s">
        <v>61</v>
      </c>
      <c r="C26" s="47"/>
      <c r="D26" s="48" t="s">
        <v>78</v>
      </c>
      <c r="E26" s="41" t="s">
        <v>4</v>
      </c>
      <c r="F26" s="44">
        <v>220</v>
      </c>
      <c r="G26" s="43">
        <f t="shared" si="4"/>
        <v>220</v>
      </c>
      <c r="H26" s="44">
        <f>VLOOKUP(B26,ТМЦ!$B$3:$J$37,6,0)</f>
        <v>0</v>
      </c>
      <c r="I26" s="44">
        <f t="shared" si="5"/>
        <v>0</v>
      </c>
      <c r="J26" s="41"/>
      <c r="K26" s="44">
        <f>VLOOKUP(B26,ТМЦ!$B$3:$J$37,9,0)</f>
        <v>0</v>
      </c>
    </row>
    <row r="27" spans="1:11" s="45" customFormat="1" x14ac:dyDescent="0.3">
      <c r="A27" s="39"/>
      <c r="B27" s="46" t="s">
        <v>66</v>
      </c>
      <c r="C27" s="47"/>
      <c r="D27" s="48" t="s">
        <v>102</v>
      </c>
      <c r="E27" s="41" t="s">
        <v>4</v>
      </c>
      <c r="F27" s="44">
        <v>120</v>
      </c>
      <c r="G27" s="43">
        <f t="shared" si="4"/>
        <v>120</v>
      </c>
      <c r="H27" s="44">
        <f>VLOOKUP(B27,ТМЦ!$B$3:$J$37,6,0)</f>
        <v>0</v>
      </c>
      <c r="I27" s="44">
        <f t="shared" si="5"/>
        <v>0</v>
      </c>
      <c r="J27" s="41"/>
      <c r="K27" s="44">
        <f>VLOOKUP(B27,ТМЦ!$B$3:$J$37,9,0)</f>
        <v>0</v>
      </c>
    </row>
    <row r="28" spans="1:11" s="45" customFormat="1" x14ac:dyDescent="0.3">
      <c r="A28" s="39"/>
      <c r="B28" s="46" t="s">
        <v>106</v>
      </c>
      <c r="C28" s="47"/>
      <c r="D28" s="48" t="s">
        <v>103</v>
      </c>
      <c r="E28" s="41" t="s">
        <v>4</v>
      </c>
      <c r="F28" s="44">
        <v>12</v>
      </c>
      <c r="G28" s="43">
        <f t="shared" si="4"/>
        <v>12</v>
      </c>
      <c r="H28" s="44">
        <f>VLOOKUP(B28,ТМЦ!$B$3:$J$37,6,0)</f>
        <v>0</v>
      </c>
      <c r="I28" s="44">
        <f t="shared" ref="I28" si="7">H28*G28</f>
        <v>0</v>
      </c>
      <c r="J28" s="41"/>
      <c r="K28" s="44">
        <f>VLOOKUP(B28,ТМЦ!$B$3:$J$37,9,0)</f>
        <v>0</v>
      </c>
    </row>
    <row r="29" spans="1:11" s="45" customFormat="1" ht="27.6" x14ac:dyDescent="0.3">
      <c r="A29" s="39"/>
      <c r="B29" s="46" t="s">
        <v>104</v>
      </c>
      <c r="C29" s="47"/>
      <c r="D29" s="48" t="s">
        <v>105</v>
      </c>
      <c r="E29" s="47" t="s">
        <v>4</v>
      </c>
      <c r="F29" s="114">
        <v>50</v>
      </c>
      <c r="G29" s="43">
        <f t="shared" si="4"/>
        <v>50</v>
      </c>
      <c r="H29" s="44">
        <f>VLOOKUP(B29,ТМЦ!$B$3:$J$37,6,0)</f>
        <v>0</v>
      </c>
      <c r="I29" s="44">
        <f t="shared" ref="I29" si="8">H29*G29</f>
        <v>0</v>
      </c>
      <c r="J29" s="41"/>
      <c r="K29" s="44">
        <f>VLOOKUP(B29,ТМЦ!$B$3:$J$37,9,0)</f>
        <v>0</v>
      </c>
    </row>
    <row r="30" spans="1:11" s="45" customFormat="1" x14ac:dyDescent="0.3">
      <c r="A30" s="39"/>
      <c r="B30" s="46" t="s">
        <v>72</v>
      </c>
      <c r="C30" s="47"/>
      <c r="D30" s="48"/>
      <c r="E30" s="41" t="s">
        <v>5</v>
      </c>
      <c r="F30" s="44">
        <v>154</v>
      </c>
      <c r="G30" s="43">
        <f t="shared" si="4"/>
        <v>154</v>
      </c>
      <c r="H30" s="44">
        <f>VLOOKUP(B30,ТМЦ!$B$3:$J$37,6,0)</f>
        <v>0</v>
      </c>
      <c r="I30" s="44">
        <f t="shared" ref="I30" si="9">H30*G30</f>
        <v>0</v>
      </c>
      <c r="J30" s="41"/>
      <c r="K30" s="44">
        <f>VLOOKUP(B30,ТМЦ!$B$3:$J$37,9,0)</f>
        <v>0</v>
      </c>
    </row>
    <row r="31" spans="1:11" ht="69" x14ac:dyDescent="0.3">
      <c r="A31" s="39"/>
      <c r="B31" s="36" t="s">
        <v>108</v>
      </c>
      <c r="C31" s="47"/>
      <c r="D31" s="48"/>
      <c r="E31" s="47"/>
      <c r="F31" s="114"/>
      <c r="G31" s="43"/>
      <c r="H31" s="44"/>
      <c r="I31" s="44">
        <f>SUM(I32:I36)</f>
        <v>0</v>
      </c>
      <c r="J31" s="41"/>
      <c r="K31" s="41"/>
    </row>
    <row r="32" spans="1:11" s="45" customFormat="1" outlineLevel="1" x14ac:dyDescent="0.3">
      <c r="A32" s="39"/>
      <c r="B32" s="49" t="s">
        <v>73</v>
      </c>
      <c r="C32" s="50"/>
      <c r="D32" s="51"/>
      <c r="E32" s="52" t="s">
        <v>5</v>
      </c>
      <c r="F32" s="114">
        <f>(F27/3)*2</f>
        <v>80</v>
      </c>
      <c r="G32" s="43">
        <f t="shared" si="4"/>
        <v>80</v>
      </c>
      <c r="H32" s="44">
        <f>VLOOKUP(B32,ТМЦ!$B$3:$J$37,6,0)</f>
        <v>0</v>
      </c>
      <c r="I32" s="44">
        <f t="shared" si="5"/>
        <v>0</v>
      </c>
      <c r="J32" s="41"/>
      <c r="K32" s="44">
        <f>VLOOKUP(B32,ТМЦ!$B$3:$J$37,9,0)</f>
        <v>0</v>
      </c>
    </row>
    <row r="33" spans="1:11" outlineLevel="1" x14ac:dyDescent="0.3">
      <c r="A33" s="39"/>
      <c r="B33" s="49" t="s">
        <v>97</v>
      </c>
      <c r="C33" s="50"/>
      <c r="D33" s="51"/>
      <c r="E33" s="52" t="s">
        <v>5</v>
      </c>
      <c r="F33" s="114">
        <f>(F27/3)*0.1</f>
        <v>4</v>
      </c>
      <c r="G33" s="43">
        <f t="shared" si="4"/>
        <v>4</v>
      </c>
      <c r="H33" s="44">
        <f>VLOOKUP(B33,ТМЦ!$B$3:$J$37,6,0)</f>
        <v>0</v>
      </c>
      <c r="I33" s="44">
        <f t="shared" ref="I33" si="10">H33*G33</f>
        <v>0</v>
      </c>
      <c r="J33" s="41"/>
      <c r="K33" s="44">
        <f>VLOOKUP(B33,ТМЦ!$B$3:$J$37,9,0)</f>
        <v>0</v>
      </c>
    </row>
    <row r="34" spans="1:11" ht="27.6" outlineLevel="1" x14ac:dyDescent="0.3">
      <c r="A34" s="39"/>
      <c r="B34" s="49" t="s">
        <v>98</v>
      </c>
      <c r="C34" s="50"/>
      <c r="D34" s="51"/>
      <c r="E34" s="52" t="s">
        <v>5</v>
      </c>
      <c r="F34" s="114">
        <f>(F27/3)*0.1</f>
        <v>4</v>
      </c>
      <c r="G34" s="43">
        <f t="shared" si="4"/>
        <v>4</v>
      </c>
      <c r="H34" s="44">
        <f>VLOOKUP(B34,ТМЦ!$B$3:$J$37,6,0)</f>
        <v>0</v>
      </c>
      <c r="I34" s="44">
        <f t="shared" ref="I34:I35" si="11">H34*G34</f>
        <v>0</v>
      </c>
      <c r="J34" s="41"/>
      <c r="K34" s="44">
        <f>VLOOKUP(B34,ТМЦ!$B$3:$J$37,9,0)</f>
        <v>0</v>
      </c>
    </row>
    <row r="35" spans="1:11" outlineLevel="1" x14ac:dyDescent="0.3">
      <c r="A35" s="39"/>
      <c r="B35" s="49" t="s">
        <v>99</v>
      </c>
      <c r="C35" s="50"/>
      <c r="D35" s="51"/>
      <c r="E35" s="52" t="s">
        <v>100</v>
      </c>
      <c r="F35" s="114">
        <f>F25*0.25</f>
        <v>415</v>
      </c>
      <c r="G35" s="43">
        <f t="shared" si="4"/>
        <v>415</v>
      </c>
      <c r="H35" s="44">
        <f>VLOOKUP(B35,ТМЦ!$B$3:$J$37,6,0)</f>
        <v>0</v>
      </c>
      <c r="I35" s="44">
        <f t="shared" si="11"/>
        <v>0</v>
      </c>
      <c r="J35" s="41"/>
      <c r="K35" s="44">
        <f>VLOOKUP(B35,ТМЦ!$B$3:$J$37,9,0)</f>
        <v>0</v>
      </c>
    </row>
    <row r="36" spans="1:11" outlineLevel="1" x14ac:dyDescent="0.3">
      <c r="A36" s="39"/>
      <c r="B36" s="49" t="s">
        <v>101</v>
      </c>
      <c r="C36" s="50"/>
      <c r="D36" s="51"/>
      <c r="E36" s="52" t="s">
        <v>5</v>
      </c>
      <c r="F36" s="114">
        <f>F25*5</f>
        <v>8300</v>
      </c>
      <c r="G36" s="43">
        <f t="shared" si="4"/>
        <v>8300</v>
      </c>
      <c r="H36" s="44">
        <f>VLOOKUP(B36,ТМЦ!$B$3:$J$37,6,0)</f>
        <v>0</v>
      </c>
      <c r="I36" s="44">
        <f t="shared" ref="I36" si="12">H36*G36</f>
        <v>0</v>
      </c>
      <c r="J36" s="41"/>
      <c r="K36" s="44">
        <f>VLOOKUP(B36,ТМЦ!$B$3:$J$37,9,0)</f>
        <v>0</v>
      </c>
    </row>
    <row r="37" spans="1:11" x14ac:dyDescent="0.3">
      <c r="A37" s="21" t="s">
        <v>42</v>
      </c>
      <c r="B37" s="22" t="s">
        <v>16</v>
      </c>
      <c r="C37" s="23"/>
      <c r="D37" s="23"/>
      <c r="E37" s="23"/>
      <c r="F37" s="24"/>
      <c r="G37" s="24"/>
      <c r="H37" s="24"/>
      <c r="I37" s="24"/>
      <c r="J37" s="24"/>
      <c r="K37" s="24"/>
    </row>
    <row r="38" spans="1:11" x14ac:dyDescent="0.3">
      <c r="A38" s="25" t="s">
        <v>43</v>
      </c>
      <c r="B38" s="26" t="s">
        <v>16</v>
      </c>
      <c r="C38" s="27"/>
      <c r="D38" s="27"/>
      <c r="E38" s="27"/>
      <c r="F38" s="28"/>
      <c r="G38" s="28"/>
      <c r="H38" s="28"/>
      <c r="I38" s="28">
        <f>I39+I42</f>
        <v>0</v>
      </c>
      <c r="J38" s="28"/>
      <c r="K38" s="28"/>
    </row>
    <row r="39" spans="1:11" x14ac:dyDescent="0.3">
      <c r="A39" s="53"/>
      <c r="B39" s="18" t="s">
        <v>14</v>
      </c>
      <c r="C39" s="30"/>
      <c r="D39" s="30"/>
      <c r="E39" s="30"/>
      <c r="F39" s="115"/>
      <c r="G39" s="115"/>
      <c r="H39" s="20"/>
      <c r="I39" s="20">
        <f>SUM(I40:I41)</f>
        <v>0</v>
      </c>
      <c r="J39" s="20"/>
      <c r="K39" s="20"/>
    </row>
    <row r="40" spans="1:11" ht="27.6" x14ac:dyDescent="0.3">
      <c r="A40" s="53"/>
      <c r="B40" s="31" t="s">
        <v>22</v>
      </c>
      <c r="C40" s="32"/>
      <c r="D40" s="32"/>
      <c r="E40" s="32" t="s">
        <v>3</v>
      </c>
      <c r="F40" s="112">
        <v>1</v>
      </c>
      <c r="G40" s="115">
        <f t="shared" ref="G40:G41" si="13">SUM(F40:F40)</f>
        <v>1</v>
      </c>
      <c r="H40" s="33">
        <f>VLOOKUP(B40,СМР!$B$3:$F$8,5,0)</f>
        <v>0</v>
      </c>
      <c r="I40" s="34">
        <f t="shared" ref="I40:I41" si="14">H40*G40</f>
        <v>0</v>
      </c>
      <c r="J40" s="33" t="s">
        <v>55</v>
      </c>
      <c r="K40" s="20"/>
    </row>
    <row r="41" spans="1:11" ht="27.6" x14ac:dyDescent="0.3">
      <c r="A41" s="53"/>
      <c r="B41" s="31" t="s">
        <v>23</v>
      </c>
      <c r="C41" s="32"/>
      <c r="D41" s="32"/>
      <c r="E41" s="32" t="s">
        <v>3</v>
      </c>
      <c r="F41" s="112">
        <v>1</v>
      </c>
      <c r="G41" s="115">
        <f t="shared" si="13"/>
        <v>1</v>
      </c>
      <c r="H41" s="33">
        <f>VLOOKUP(B41,СМР!$B$3:$F$8,5,0)</f>
        <v>0</v>
      </c>
      <c r="I41" s="34">
        <f t="shared" si="14"/>
        <v>0</v>
      </c>
      <c r="J41" s="33" t="s">
        <v>47</v>
      </c>
      <c r="K41" s="20"/>
    </row>
    <row r="42" spans="1:11" x14ac:dyDescent="0.3">
      <c r="A42" s="54"/>
      <c r="B42" s="36" t="s">
        <v>15</v>
      </c>
      <c r="C42" s="37"/>
      <c r="D42" s="37"/>
      <c r="E42" s="37"/>
      <c r="F42" s="113"/>
      <c r="G42" s="43"/>
      <c r="H42" s="38"/>
      <c r="I42" s="38">
        <f>SUM(I43:I63)</f>
        <v>0</v>
      </c>
      <c r="J42" s="38"/>
      <c r="K42" s="38"/>
    </row>
    <row r="43" spans="1:11" s="45" customFormat="1" ht="41.4" x14ac:dyDescent="0.3">
      <c r="A43" s="39"/>
      <c r="B43" s="40" t="s">
        <v>48</v>
      </c>
      <c r="C43" s="42"/>
      <c r="D43" s="42" t="s">
        <v>80</v>
      </c>
      <c r="E43" s="41" t="s">
        <v>5</v>
      </c>
      <c r="F43" s="44">
        <v>1</v>
      </c>
      <c r="G43" s="43">
        <f t="shared" ref="G43:G63" si="15">SUM(F43:F43)</f>
        <v>1</v>
      </c>
      <c r="H43" s="44">
        <f>VLOOKUP(B43,ТМЦ!$B$3:$J$37,6,0)</f>
        <v>0</v>
      </c>
      <c r="I43" s="44">
        <f>H43*G43</f>
        <v>0</v>
      </c>
      <c r="J43" s="41"/>
      <c r="K43" s="44">
        <f>VLOOKUP(B43,ТМЦ!$B$3:$J$37,9,0)</f>
        <v>0</v>
      </c>
    </row>
    <row r="44" spans="1:11" s="45" customFormat="1" x14ac:dyDescent="0.3">
      <c r="A44" s="39"/>
      <c r="B44" s="40" t="s">
        <v>67</v>
      </c>
      <c r="C44" s="42"/>
      <c r="D44" s="42" t="s">
        <v>68</v>
      </c>
      <c r="E44" s="41" t="s">
        <v>5</v>
      </c>
      <c r="F44" s="44">
        <v>1</v>
      </c>
      <c r="G44" s="43">
        <f t="shared" si="15"/>
        <v>1</v>
      </c>
      <c r="H44" s="44">
        <f>VLOOKUP(B44,ТМЦ!$B$3:$J$37,6,0)</f>
        <v>0</v>
      </c>
      <c r="I44" s="44">
        <f>H44*G44</f>
        <v>0</v>
      </c>
      <c r="J44" s="41"/>
      <c r="K44" s="44">
        <f>VLOOKUP(B44,ТМЦ!$B$3:$J$37,9,0)</f>
        <v>0</v>
      </c>
    </row>
    <row r="45" spans="1:11" s="45" customFormat="1" ht="41.4" x14ac:dyDescent="0.3">
      <c r="A45" s="39"/>
      <c r="B45" s="40" t="s">
        <v>53</v>
      </c>
      <c r="C45" s="41"/>
      <c r="D45" s="42" t="s">
        <v>69</v>
      </c>
      <c r="E45" s="41" t="s">
        <v>5</v>
      </c>
      <c r="F45" s="44">
        <v>1</v>
      </c>
      <c r="G45" s="43">
        <f t="shared" si="15"/>
        <v>1</v>
      </c>
      <c r="H45" s="44">
        <f>VLOOKUP(B45,ТМЦ!$B$3:$J$37,6,0)</f>
        <v>0</v>
      </c>
      <c r="I45" s="44">
        <f t="shared" ref="I45:I63" si="16">H45*G45</f>
        <v>0</v>
      </c>
      <c r="J45" s="41"/>
      <c r="K45" s="44">
        <f>VLOOKUP(B45,ТМЦ!$B$3:$J$37,9,0)</f>
        <v>0</v>
      </c>
    </row>
    <row r="46" spans="1:11" s="45" customFormat="1" x14ac:dyDescent="0.3">
      <c r="A46" s="39"/>
      <c r="B46" s="40" t="s">
        <v>50</v>
      </c>
      <c r="C46" s="41"/>
      <c r="D46" s="42" t="s">
        <v>49</v>
      </c>
      <c r="E46" s="41" t="s">
        <v>5</v>
      </c>
      <c r="F46" s="44">
        <v>1</v>
      </c>
      <c r="G46" s="43">
        <f t="shared" si="15"/>
        <v>1</v>
      </c>
      <c r="H46" s="44">
        <f>VLOOKUP(B46,ТМЦ!$B$3:$J$37,6,0)</f>
        <v>0</v>
      </c>
      <c r="I46" s="44">
        <f>H46*G46</f>
        <v>0</v>
      </c>
      <c r="J46" s="41"/>
      <c r="K46" s="44">
        <f>VLOOKUP(B46,ТМЦ!$B$3:$J$37,9,0)</f>
        <v>0</v>
      </c>
    </row>
    <row r="47" spans="1:11" s="45" customFormat="1" x14ac:dyDescent="0.3">
      <c r="A47" s="39"/>
      <c r="B47" s="40" t="s">
        <v>51</v>
      </c>
      <c r="C47" s="41"/>
      <c r="D47" s="42" t="s">
        <v>52</v>
      </c>
      <c r="E47" s="41" t="s">
        <v>5</v>
      </c>
      <c r="F47" s="44">
        <v>1</v>
      </c>
      <c r="G47" s="43">
        <f t="shared" si="15"/>
        <v>1</v>
      </c>
      <c r="H47" s="44">
        <f>VLOOKUP(B47,ТМЦ!$B$3:$J$37,6,0)</f>
        <v>0</v>
      </c>
      <c r="I47" s="44">
        <f>H47*G47</f>
        <v>0</v>
      </c>
      <c r="J47" s="41"/>
      <c r="K47" s="44">
        <f>VLOOKUP(B47,ТМЦ!$B$3:$J$37,9,0)</f>
        <v>0</v>
      </c>
    </row>
    <row r="48" spans="1:11" s="45" customFormat="1" x14ac:dyDescent="0.3">
      <c r="A48" s="39"/>
      <c r="B48" s="40" t="s">
        <v>6</v>
      </c>
      <c r="C48" s="41"/>
      <c r="D48" s="42" t="s">
        <v>81</v>
      </c>
      <c r="E48" s="41" t="s">
        <v>5</v>
      </c>
      <c r="F48" s="44">
        <v>4</v>
      </c>
      <c r="G48" s="43">
        <f t="shared" si="15"/>
        <v>4</v>
      </c>
      <c r="H48" s="44">
        <f>VLOOKUP(B48,ТМЦ!$B$3:$J$37,6,0)</f>
        <v>0</v>
      </c>
      <c r="I48" s="44">
        <f>H48*G48</f>
        <v>0</v>
      </c>
      <c r="J48" s="41"/>
      <c r="K48" s="44">
        <f>VLOOKUP(B48,ТМЦ!$B$3:$J$37,9,0)</f>
        <v>0</v>
      </c>
    </row>
    <row r="49" spans="1:11" s="45" customFormat="1" ht="41.4" x14ac:dyDescent="0.3">
      <c r="A49" s="39"/>
      <c r="B49" s="40" t="s">
        <v>54</v>
      </c>
      <c r="C49" s="41"/>
      <c r="D49" s="42" t="s">
        <v>70</v>
      </c>
      <c r="E49" s="41" t="s">
        <v>5</v>
      </c>
      <c r="F49" s="44">
        <v>4</v>
      </c>
      <c r="G49" s="43">
        <f t="shared" si="15"/>
        <v>4</v>
      </c>
      <c r="H49" s="44">
        <f>VLOOKUP(B49,ТМЦ!$B$3:$J$37,6,0)</f>
        <v>0</v>
      </c>
      <c r="I49" s="44">
        <f t="shared" ref="I49" si="17">H49*G49</f>
        <v>0</v>
      </c>
      <c r="J49" s="41"/>
      <c r="K49" s="44">
        <f>VLOOKUP(B49,ТМЦ!$B$3:$J$37,9,0)</f>
        <v>0</v>
      </c>
    </row>
    <row r="50" spans="1:11" s="45" customFormat="1" ht="27.6" x14ac:dyDescent="0.3">
      <c r="A50" s="39"/>
      <c r="B50" s="40" t="s">
        <v>57</v>
      </c>
      <c r="C50" s="41"/>
      <c r="D50" s="42" t="s">
        <v>82</v>
      </c>
      <c r="E50" s="41" t="s">
        <v>5</v>
      </c>
      <c r="F50" s="44">
        <v>5</v>
      </c>
      <c r="G50" s="43">
        <f t="shared" si="15"/>
        <v>5</v>
      </c>
      <c r="H50" s="44">
        <f>VLOOKUP(B50,ТМЦ!$B$3:$J$37,6,0)</f>
        <v>0</v>
      </c>
      <c r="I50" s="44">
        <f>H50*G50</f>
        <v>0</v>
      </c>
      <c r="J50" s="41"/>
      <c r="K50" s="44">
        <f>VLOOKUP(B50,ТМЦ!$B$3:$J$37,9,0)</f>
        <v>0</v>
      </c>
    </row>
    <row r="51" spans="1:11" s="45" customFormat="1" x14ac:dyDescent="0.3">
      <c r="A51" s="39"/>
      <c r="B51" s="40" t="s">
        <v>7</v>
      </c>
      <c r="C51" s="41"/>
      <c r="D51" s="55" t="s">
        <v>83</v>
      </c>
      <c r="E51" s="41" t="s">
        <v>5</v>
      </c>
      <c r="F51" s="44">
        <v>4</v>
      </c>
      <c r="G51" s="43">
        <f t="shared" si="15"/>
        <v>4</v>
      </c>
      <c r="H51" s="44">
        <f>VLOOKUP(B51,ТМЦ!$B$3:$J$37,6,0)</f>
        <v>0</v>
      </c>
      <c r="I51" s="44">
        <f>H51*G51</f>
        <v>0</v>
      </c>
      <c r="J51" s="41"/>
      <c r="K51" s="44">
        <f>VLOOKUP(B51,ТМЦ!$B$3:$J$37,9,0)</f>
        <v>0</v>
      </c>
    </row>
    <row r="52" spans="1:11" s="45" customFormat="1" x14ac:dyDescent="0.3">
      <c r="A52" s="39"/>
      <c r="B52" s="40" t="s">
        <v>59</v>
      </c>
      <c r="C52" s="41"/>
      <c r="D52" s="42" t="s">
        <v>84</v>
      </c>
      <c r="E52" s="41" t="s">
        <v>5</v>
      </c>
      <c r="F52" s="44">
        <v>225</v>
      </c>
      <c r="G52" s="43">
        <f t="shared" si="15"/>
        <v>225</v>
      </c>
      <c r="H52" s="44">
        <f>VLOOKUP(B52,ТМЦ!$B$3:$J$37,6,0)</f>
        <v>0</v>
      </c>
      <c r="I52" s="44">
        <f>H52*G52</f>
        <v>0</v>
      </c>
      <c r="J52" s="41"/>
      <c r="K52" s="44">
        <f>VLOOKUP(B52,ТМЦ!$B$3:$J$37,9,0)</f>
        <v>0</v>
      </c>
    </row>
    <row r="53" spans="1:11" s="45" customFormat="1" x14ac:dyDescent="0.3">
      <c r="A53" s="39"/>
      <c r="B53" s="40" t="s">
        <v>71</v>
      </c>
      <c r="C53" s="41"/>
      <c r="D53" s="42"/>
      <c r="E53" s="41" t="s">
        <v>5</v>
      </c>
      <c r="F53" s="44">
        <v>1</v>
      </c>
      <c r="G53" s="43">
        <f t="shared" si="15"/>
        <v>1</v>
      </c>
      <c r="H53" s="44">
        <f>VLOOKUP(B53,ТМЦ!$B$3:$J$37,6,0)</f>
        <v>0</v>
      </c>
      <c r="I53" s="44">
        <f t="shared" ref="I53" si="18">H53*G53</f>
        <v>0</v>
      </c>
      <c r="J53" s="41"/>
      <c r="K53" s="44">
        <f>VLOOKUP(B53,ТМЦ!$B$3:$J$37,9,0)</f>
        <v>0</v>
      </c>
    </row>
    <row r="54" spans="1:11" s="45" customFormat="1" x14ac:dyDescent="0.3">
      <c r="A54" s="39"/>
      <c r="B54" s="40" t="s">
        <v>65</v>
      </c>
      <c r="C54" s="41"/>
      <c r="D54" s="42"/>
      <c r="E54" s="41" t="s">
        <v>5</v>
      </c>
      <c r="F54" s="44">
        <v>2</v>
      </c>
      <c r="G54" s="43">
        <f t="shared" si="15"/>
        <v>2</v>
      </c>
      <c r="H54" s="44">
        <f>VLOOKUP(B54,ТМЦ!$B$3:$J$37,6,0)</f>
        <v>0</v>
      </c>
      <c r="I54" s="44">
        <f>H54*G54</f>
        <v>0</v>
      </c>
      <c r="J54" s="41"/>
      <c r="K54" s="44">
        <f>VLOOKUP(B54,ТМЦ!$B$3:$J$37,9,0)</f>
        <v>0</v>
      </c>
    </row>
    <row r="55" spans="1:11" s="45" customFormat="1" x14ac:dyDescent="0.3">
      <c r="A55" s="39"/>
      <c r="B55" s="40" t="s">
        <v>85</v>
      </c>
      <c r="C55" s="41"/>
      <c r="D55" s="42" t="s">
        <v>86</v>
      </c>
      <c r="E55" s="41" t="s">
        <v>5</v>
      </c>
      <c r="F55" s="44">
        <v>8</v>
      </c>
      <c r="G55" s="43">
        <f t="shared" si="15"/>
        <v>8</v>
      </c>
      <c r="H55" s="44">
        <f>VLOOKUP(B55,ТМЦ!$B$3:$J$37,6,0)</f>
        <v>0</v>
      </c>
      <c r="I55" s="44">
        <f t="shared" ref="I55:I56" si="19">H55*G55</f>
        <v>0</v>
      </c>
      <c r="J55" s="41"/>
      <c r="K55" s="44">
        <f>VLOOKUP(B55,ТМЦ!$B$3:$J$37,9,0)</f>
        <v>0</v>
      </c>
    </row>
    <row r="56" spans="1:11" s="45" customFormat="1" x14ac:dyDescent="0.3">
      <c r="A56" s="39"/>
      <c r="B56" s="40" t="s">
        <v>113</v>
      </c>
      <c r="C56" s="41"/>
      <c r="D56" s="42" t="s">
        <v>87</v>
      </c>
      <c r="E56" s="41" t="s">
        <v>5</v>
      </c>
      <c r="F56" s="44">
        <v>6</v>
      </c>
      <c r="G56" s="43">
        <f t="shared" si="15"/>
        <v>6</v>
      </c>
      <c r="H56" s="44">
        <f>VLOOKUP(B56,ТМЦ!$B$3:$J$37,6,0)</f>
        <v>0</v>
      </c>
      <c r="I56" s="44">
        <f t="shared" si="19"/>
        <v>0</v>
      </c>
      <c r="J56" s="41"/>
      <c r="K56" s="44">
        <f>VLOOKUP(B56,ТМЦ!$B$3:$J$37,9,0)</f>
        <v>0</v>
      </c>
    </row>
    <row r="57" spans="1:11" s="45" customFormat="1" x14ac:dyDescent="0.3">
      <c r="A57" s="39"/>
      <c r="B57" s="40" t="s">
        <v>114</v>
      </c>
      <c r="C57" s="41"/>
      <c r="D57" s="42" t="s">
        <v>88</v>
      </c>
      <c r="E57" s="41" t="s">
        <v>5</v>
      </c>
      <c r="F57" s="44">
        <v>6</v>
      </c>
      <c r="G57" s="43">
        <f t="shared" si="15"/>
        <v>6</v>
      </c>
      <c r="H57" s="44">
        <f>VLOOKUP(B57,ТМЦ!$B$3:$J$37,6,0)</f>
        <v>0</v>
      </c>
      <c r="I57" s="44">
        <f t="shared" si="16"/>
        <v>0</v>
      </c>
      <c r="J57" s="41"/>
      <c r="K57" s="44">
        <f>VLOOKUP(B57,ТМЦ!$B$3:$J$37,9,0)</f>
        <v>0</v>
      </c>
    </row>
    <row r="58" spans="1:11" s="45" customFormat="1" x14ac:dyDescent="0.3">
      <c r="A58" s="39"/>
      <c r="B58" s="40" t="s">
        <v>115</v>
      </c>
      <c r="C58" s="41"/>
      <c r="D58" s="42" t="s">
        <v>89</v>
      </c>
      <c r="E58" s="41" t="s">
        <v>5</v>
      </c>
      <c r="F58" s="44">
        <v>7</v>
      </c>
      <c r="G58" s="43">
        <f t="shared" si="15"/>
        <v>7</v>
      </c>
      <c r="H58" s="44">
        <f>VLOOKUP(B58,ТМЦ!$B$3:$J$37,6,0)</f>
        <v>0</v>
      </c>
      <c r="I58" s="44">
        <f t="shared" si="16"/>
        <v>0</v>
      </c>
      <c r="J58" s="41"/>
      <c r="K58" s="44">
        <f>VLOOKUP(B58,ТМЦ!$B$3:$J$37,9,0)</f>
        <v>0</v>
      </c>
    </row>
    <row r="59" spans="1:11" s="45" customFormat="1" x14ac:dyDescent="0.3">
      <c r="A59" s="39"/>
      <c r="B59" s="40" t="s">
        <v>116</v>
      </c>
      <c r="C59" s="41"/>
      <c r="D59" s="42" t="s">
        <v>90</v>
      </c>
      <c r="E59" s="41" t="s">
        <v>5</v>
      </c>
      <c r="F59" s="44">
        <v>4</v>
      </c>
      <c r="G59" s="43">
        <f t="shared" si="15"/>
        <v>4</v>
      </c>
      <c r="H59" s="44">
        <f>VLOOKUP(B59,ТМЦ!$B$3:$J$37,6,0)</f>
        <v>0</v>
      </c>
      <c r="I59" s="44">
        <f t="shared" si="16"/>
        <v>0</v>
      </c>
      <c r="J59" s="41"/>
      <c r="K59" s="44">
        <f>VLOOKUP(B59,ТМЦ!$B$3:$J$37,9,0)</f>
        <v>0</v>
      </c>
    </row>
    <row r="60" spans="1:11" s="45" customFormat="1" x14ac:dyDescent="0.3">
      <c r="A60" s="39"/>
      <c r="B60" s="40" t="s">
        <v>117</v>
      </c>
      <c r="C60" s="41"/>
      <c r="D60" s="42" t="s">
        <v>91</v>
      </c>
      <c r="E60" s="41" t="s">
        <v>5</v>
      </c>
      <c r="F60" s="44">
        <v>4</v>
      </c>
      <c r="G60" s="43">
        <f t="shared" si="15"/>
        <v>4</v>
      </c>
      <c r="H60" s="44">
        <f>VLOOKUP(B60,ТМЦ!$B$3:$J$37,6,0)</f>
        <v>0</v>
      </c>
      <c r="I60" s="44">
        <f t="shared" ref="I60" si="20">H60*G60</f>
        <v>0</v>
      </c>
      <c r="J60" s="41"/>
      <c r="K60" s="44">
        <f>VLOOKUP(B60,ТМЦ!$B$3:$J$37,9,0)</f>
        <v>0</v>
      </c>
    </row>
    <row r="61" spans="1:11" s="45" customFormat="1" x14ac:dyDescent="0.3">
      <c r="A61" s="39"/>
      <c r="B61" s="40" t="s">
        <v>118</v>
      </c>
      <c r="C61" s="41"/>
      <c r="D61" s="42" t="s">
        <v>92</v>
      </c>
      <c r="E61" s="41" t="s">
        <v>5</v>
      </c>
      <c r="F61" s="44">
        <v>3</v>
      </c>
      <c r="G61" s="43">
        <f t="shared" si="15"/>
        <v>3</v>
      </c>
      <c r="H61" s="44">
        <f>VLOOKUP(B61,ТМЦ!$B$3:$J$37,6,0)</f>
        <v>0</v>
      </c>
      <c r="I61" s="44">
        <f t="shared" ref="I61" si="21">H61*G61</f>
        <v>0</v>
      </c>
      <c r="J61" s="41"/>
      <c r="K61" s="44">
        <f>VLOOKUP(B61,ТМЦ!$B$3:$J$37,9,0)</f>
        <v>0</v>
      </c>
    </row>
    <row r="62" spans="1:11" s="45" customFormat="1" x14ac:dyDescent="0.3">
      <c r="A62" s="39"/>
      <c r="B62" s="40" t="s">
        <v>119</v>
      </c>
      <c r="C62" s="41"/>
      <c r="D62" s="42" t="s">
        <v>94</v>
      </c>
      <c r="E62" s="41" t="s">
        <v>5</v>
      </c>
      <c r="F62" s="44">
        <v>1</v>
      </c>
      <c r="G62" s="43">
        <f t="shared" si="15"/>
        <v>1</v>
      </c>
      <c r="H62" s="44">
        <f>VLOOKUP(B62,ТМЦ!$B$3:$J$37,6,0)</f>
        <v>0</v>
      </c>
      <c r="I62" s="44">
        <f t="shared" ref="I62" si="22">H62*G62</f>
        <v>0</v>
      </c>
      <c r="J62" s="41"/>
      <c r="K62" s="44">
        <f>VLOOKUP(B62,ТМЦ!$B$3:$J$37,9,0)</f>
        <v>0</v>
      </c>
    </row>
    <row r="63" spans="1:11" s="45" customFormat="1" x14ac:dyDescent="0.3">
      <c r="A63" s="39"/>
      <c r="B63" s="40" t="s">
        <v>93</v>
      </c>
      <c r="C63" s="41"/>
      <c r="D63" s="42" t="s">
        <v>95</v>
      </c>
      <c r="E63" s="41" t="s">
        <v>5</v>
      </c>
      <c r="F63" s="44">
        <v>1</v>
      </c>
      <c r="G63" s="43">
        <f t="shared" si="15"/>
        <v>1</v>
      </c>
      <c r="H63" s="44">
        <f>VLOOKUP(B63,ТМЦ!$B$3:$J$37,6,0)</f>
        <v>0</v>
      </c>
      <c r="I63" s="44">
        <f t="shared" si="16"/>
        <v>0</v>
      </c>
      <c r="J63" s="41"/>
      <c r="K63" s="44">
        <f>VLOOKUP(B63,ТМЦ!$B$3:$J$37,9,0)</f>
        <v>0</v>
      </c>
    </row>
    <row r="64" spans="1:11" s="45" customFormat="1" x14ac:dyDescent="0.3">
      <c r="A64" s="56" t="s">
        <v>44</v>
      </c>
      <c r="B64" s="57" t="s">
        <v>36</v>
      </c>
      <c r="C64" s="58"/>
      <c r="D64" s="59"/>
      <c r="E64" s="58"/>
      <c r="F64" s="61"/>
      <c r="G64" s="60"/>
      <c r="H64" s="61"/>
      <c r="I64" s="61"/>
      <c r="J64" s="58"/>
      <c r="K64" s="58"/>
    </row>
    <row r="65" spans="1:11" s="45" customFormat="1" x14ac:dyDescent="0.3">
      <c r="A65" s="25" t="s">
        <v>45</v>
      </c>
      <c r="B65" s="62" t="s">
        <v>36</v>
      </c>
      <c r="C65" s="63"/>
      <c r="D65" s="64"/>
      <c r="E65" s="63"/>
      <c r="F65" s="116"/>
      <c r="G65" s="66"/>
      <c r="H65" s="63"/>
      <c r="I65" s="66">
        <f>I66</f>
        <v>0</v>
      </c>
      <c r="J65" s="63"/>
      <c r="K65" s="63"/>
    </row>
    <row r="66" spans="1:11" x14ac:dyDescent="0.3">
      <c r="A66" s="53"/>
      <c r="B66" s="18" t="s">
        <v>14</v>
      </c>
      <c r="C66" s="30"/>
      <c r="D66" s="30"/>
      <c r="E66" s="30"/>
      <c r="F66" s="115"/>
      <c r="G66" s="20"/>
      <c r="H66" s="20"/>
      <c r="I66" s="20">
        <f>SUM(I67)</f>
        <v>0</v>
      </c>
      <c r="J66" s="20"/>
      <c r="K66" s="20"/>
    </row>
    <row r="67" spans="1:11" x14ac:dyDescent="0.3">
      <c r="A67" s="53"/>
      <c r="B67" s="31" t="s">
        <v>37</v>
      </c>
      <c r="C67" s="32"/>
      <c r="D67" s="32"/>
      <c r="E67" s="32" t="s">
        <v>38</v>
      </c>
      <c r="F67" s="112">
        <v>1</v>
      </c>
      <c r="G67" s="20">
        <f t="shared" ref="G67" si="23">SUM(F67:F67)</f>
        <v>1</v>
      </c>
      <c r="H67" s="33">
        <f>VLOOKUP(B67,СМР!$B$3:$F$8,5,0)</f>
        <v>0</v>
      </c>
      <c r="I67" s="34">
        <f>H67*G67</f>
        <v>0</v>
      </c>
      <c r="J67" s="20"/>
      <c r="K67" s="20"/>
    </row>
    <row r="68" spans="1:11" s="45" customFormat="1" x14ac:dyDescent="0.3">
      <c r="A68" s="39"/>
      <c r="B68" s="40" t="s">
        <v>15</v>
      </c>
      <c r="C68" s="41"/>
      <c r="D68" s="42"/>
      <c r="E68" s="41"/>
      <c r="F68" s="44"/>
      <c r="G68" s="43"/>
      <c r="H68" s="41"/>
      <c r="I68" s="43">
        <v>0</v>
      </c>
      <c r="J68" s="41"/>
      <c r="K68" s="41"/>
    </row>
    <row r="69" spans="1:11" s="45" customFormat="1" x14ac:dyDescent="0.3">
      <c r="A69" s="39"/>
      <c r="B69" s="40"/>
      <c r="C69" s="41"/>
      <c r="D69" s="42"/>
      <c r="E69" s="41"/>
      <c r="F69" s="44"/>
      <c r="G69" s="43"/>
      <c r="H69" s="44"/>
      <c r="I69" s="44"/>
      <c r="J69" s="41"/>
      <c r="K69" s="41"/>
    </row>
    <row r="70" spans="1:11" x14ac:dyDescent="0.3">
      <c r="A70" s="25"/>
      <c r="B70" s="62"/>
      <c r="C70" s="65"/>
      <c r="D70" s="67"/>
      <c r="E70" s="65"/>
      <c r="F70" s="65"/>
      <c r="G70" s="66"/>
      <c r="H70" s="68" t="s">
        <v>120</v>
      </c>
      <c r="I70" s="66">
        <f>I38+I16+I65</f>
        <v>0</v>
      </c>
      <c r="J70" s="65"/>
      <c r="K70" s="65"/>
    </row>
    <row r="71" spans="1:11" x14ac:dyDescent="0.3">
      <c r="A71" s="69"/>
      <c r="B71" s="70"/>
      <c r="C71" s="71"/>
      <c r="D71" s="72"/>
      <c r="E71" s="71"/>
      <c r="F71" s="71"/>
      <c r="G71" s="73"/>
      <c r="H71" s="74" t="s">
        <v>17</v>
      </c>
      <c r="I71" s="73">
        <f>SUMIF($B$13:$B$69,"Работа:",I$13:I$69)</f>
        <v>0</v>
      </c>
      <c r="J71" s="71"/>
      <c r="K71" s="71"/>
    </row>
    <row r="72" spans="1:11" x14ac:dyDescent="0.3">
      <c r="A72" s="69"/>
      <c r="B72" s="70"/>
      <c r="C72" s="71"/>
      <c r="D72" s="72"/>
      <c r="E72" s="71"/>
      <c r="F72" s="71"/>
      <c r="G72" s="73"/>
      <c r="H72" s="74" t="s">
        <v>18</v>
      </c>
      <c r="I72" s="73">
        <f>SUMIF($B$13:$B$69,"Материалы:",I$13:I$69)</f>
        <v>0</v>
      </c>
      <c r="J72" s="71"/>
      <c r="K72" s="71"/>
    </row>
    <row r="73" spans="1:11" x14ac:dyDescent="0.3">
      <c r="A73" s="69"/>
      <c r="B73" s="70"/>
      <c r="C73" s="71"/>
      <c r="D73" s="72"/>
      <c r="E73" s="71"/>
      <c r="F73" s="71"/>
      <c r="G73" s="73"/>
      <c r="H73" s="74" t="s">
        <v>121</v>
      </c>
      <c r="I73" s="75">
        <f>I70*22/122</f>
        <v>0</v>
      </c>
      <c r="J73" s="72"/>
      <c r="K73" s="72"/>
    </row>
    <row r="75" spans="1:11" x14ac:dyDescent="0.3">
      <c r="A75" s="76"/>
      <c r="B75" s="77" t="s">
        <v>24</v>
      </c>
      <c r="C75" s="78"/>
      <c r="D75" s="78"/>
      <c r="E75" s="78"/>
      <c r="F75" s="78"/>
      <c r="G75" s="79"/>
      <c r="H75" s="78"/>
      <c r="I75" s="78"/>
      <c r="J75" s="78"/>
      <c r="K75" s="78"/>
    </row>
    <row r="76" spans="1:11" ht="35.25" customHeight="1" x14ac:dyDescent="0.3">
      <c r="A76" s="76" t="s">
        <v>25</v>
      </c>
      <c r="B76" s="127" t="s">
        <v>26</v>
      </c>
      <c r="C76" s="127"/>
      <c r="D76" s="127"/>
      <c r="E76" s="127"/>
      <c r="F76" s="127"/>
      <c r="G76" s="127"/>
      <c r="H76" s="127"/>
      <c r="I76" s="127"/>
      <c r="J76" s="127"/>
    </row>
    <row r="77" spans="1:11" ht="55.5" customHeight="1" x14ac:dyDescent="0.3">
      <c r="A77" s="80" t="s">
        <v>25</v>
      </c>
      <c r="B77" s="125" t="s">
        <v>27</v>
      </c>
      <c r="C77" s="125"/>
      <c r="D77" s="125"/>
      <c r="E77" s="125"/>
      <c r="F77" s="125"/>
      <c r="G77" s="125"/>
      <c r="H77" s="125"/>
      <c r="I77" s="125"/>
      <c r="J77" s="125"/>
    </row>
    <row r="78" spans="1:11" x14ac:dyDescent="0.3">
      <c r="A78" s="76" t="s">
        <v>25</v>
      </c>
      <c r="B78" s="126" t="s">
        <v>28</v>
      </c>
      <c r="C78" s="126"/>
      <c r="D78" s="126"/>
      <c r="E78" s="126"/>
      <c r="F78" s="126"/>
      <c r="G78" s="126"/>
      <c r="H78" s="126"/>
      <c r="I78" s="126"/>
      <c r="J78" s="126"/>
    </row>
    <row r="79" spans="1:11" x14ac:dyDescent="0.3">
      <c r="A79" s="76"/>
      <c r="B79" s="81"/>
      <c r="C79" s="78"/>
      <c r="D79" s="78"/>
      <c r="E79" s="78"/>
      <c r="F79" s="78"/>
      <c r="G79" s="79"/>
      <c r="H79" s="78"/>
      <c r="I79" s="78"/>
      <c r="J79" s="78"/>
      <c r="K79" s="78"/>
    </row>
  </sheetData>
  <mergeCells count="3">
    <mergeCell ref="B77:J77"/>
    <mergeCell ref="B78:J78"/>
    <mergeCell ref="B76:J76"/>
  </mergeCells>
  <phoneticPr fontId="7" type="noConversion"/>
  <conditionalFormatting sqref="K22:K30 K32:K36">
    <cfRule type="cellIs" dxfId="4" priority="1" operator="equal">
      <formula>0</formula>
    </cfRule>
  </conditionalFormatting>
  <conditionalFormatting sqref="K43:K63">
    <cfRule type="cellIs" dxfId="3" priority="2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FF954-2376-463B-8569-CBF2721BA798}">
  <dimension ref="A1:K15"/>
  <sheetViews>
    <sheetView workbookViewId="0">
      <pane xSplit="8" ySplit="2" topLeftCell="I3" activePane="bottomRight" state="frozen"/>
      <selection activeCell="H3" sqref="H3:H12"/>
      <selection pane="topRight" activeCell="H3" sqref="H3:H12"/>
      <selection pane="bottomLeft" activeCell="H3" sqref="H3:H12"/>
      <selection pane="bottomRight" activeCell="C4" sqref="C4:C5"/>
    </sheetView>
  </sheetViews>
  <sheetFormatPr defaultRowHeight="13.8" x14ac:dyDescent="0.3"/>
  <cols>
    <col min="1" max="1" width="7.44140625" style="82" customWidth="1"/>
    <col min="2" max="2" width="30.6640625" style="82" customWidth="1"/>
    <col min="3" max="3" width="30.5546875" style="82" customWidth="1"/>
    <col min="4" max="6" width="8.88671875" style="82"/>
    <col min="7" max="7" width="15" style="82" customWidth="1"/>
    <col min="8" max="8" width="17.44140625" style="82" customWidth="1"/>
    <col min="9" max="16384" width="8.88671875" style="82"/>
  </cols>
  <sheetData>
    <row r="1" spans="1:11" x14ac:dyDescent="0.3">
      <c r="A1" s="82" t="s">
        <v>109</v>
      </c>
    </row>
    <row r="2" spans="1:11" x14ac:dyDescent="0.3">
      <c r="A2" s="83" t="s">
        <v>35</v>
      </c>
      <c r="B2" s="84" t="s">
        <v>1</v>
      </c>
      <c r="C2" s="84" t="s">
        <v>21</v>
      </c>
      <c r="D2" s="84" t="s">
        <v>11</v>
      </c>
      <c r="E2" s="85" t="s">
        <v>2</v>
      </c>
      <c r="F2" s="86" t="s">
        <v>8</v>
      </c>
      <c r="G2" s="86" t="s">
        <v>9</v>
      </c>
      <c r="H2" s="86" t="s">
        <v>10</v>
      </c>
    </row>
    <row r="3" spans="1:11" x14ac:dyDescent="0.3">
      <c r="A3" s="87">
        <f>ROW()-2</f>
        <v>1</v>
      </c>
      <c r="B3" s="83" t="s">
        <v>34</v>
      </c>
      <c r="C3" s="87"/>
      <c r="D3" s="87" t="s">
        <v>4</v>
      </c>
      <c r="E3" s="88">
        <f>SUMIF(ЛСР!$B$13:$B$69,B3,ЛСР!$G$13:$G$69)</f>
        <v>2290</v>
      </c>
      <c r="F3" s="88"/>
      <c r="G3" s="88">
        <f>F3*E3</f>
        <v>0</v>
      </c>
      <c r="H3" s="83"/>
    </row>
    <row r="4" spans="1:11" x14ac:dyDescent="0.3">
      <c r="A4" s="87">
        <f t="shared" ref="A4:A8" si="0">ROW()-2</f>
        <v>2</v>
      </c>
      <c r="B4" s="83" t="s">
        <v>127</v>
      </c>
      <c r="C4" s="89"/>
      <c r="D4" s="87" t="s">
        <v>4</v>
      </c>
      <c r="E4" s="88">
        <f>SUMIF(ЛСР!$B$13:$B$69,B4,ЛСР!$G$13:$G$69)</f>
        <v>2012</v>
      </c>
      <c r="F4" s="88"/>
      <c r="G4" s="88">
        <f t="shared" ref="G4:G8" si="1">F4*E4</f>
        <v>0</v>
      </c>
      <c r="H4" s="83"/>
    </row>
    <row r="5" spans="1:11" x14ac:dyDescent="0.3">
      <c r="A5" s="87">
        <f t="shared" si="0"/>
        <v>3</v>
      </c>
      <c r="B5" s="83" t="s">
        <v>128</v>
      </c>
      <c r="C5" s="89"/>
      <c r="D5" s="87" t="s">
        <v>4</v>
      </c>
      <c r="E5" s="88">
        <f>SUMIF(ЛСР!$B$13:$B$69,B5,ЛСР!$G$13:$G$69)</f>
        <v>50</v>
      </c>
      <c r="F5" s="88"/>
      <c r="G5" s="88">
        <f t="shared" si="1"/>
        <v>0</v>
      </c>
      <c r="H5" s="83"/>
    </row>
    <row r="6" spans="1:11" x14ac:dyDescent="0.3">
      <c r="A6" s="87">
        <f t="shared" si="0"/>
        <v>4</v>
      </c>
      <c r="B6" s="83" t="s">
        <v>22</v>
      </c>
      <c r="C6" s="89"/>
      <c r="D6" s="87" t="s">
        <v>3</v>
      </c>
      <c r="E6" s="88">
        <f>SUMIF(ЛСР!$B$13:$B$69,B6,ЛСР!$G$13:$G$69)</f>
        <v>1</v>
      </c>
      <c r="F6" s="88"/>
      <c r="G6" s="88">
        <f t="shared" si="1"/>
        <v>0</v>
      </c>
      <c r="H6" s="83"/>
    </row>
    <row r="7" spans="1:11" x14ac:dyDescent="0.3">
      <c r="A7" s="87">
        <f t="shared" si="0"/>
        <v>5</v>
      </c>
      <c r="B7" s="83" t="s">
        <v>23</v>
      </c>
      <c r="C7" s="89"/>
      <c r="D7" s="87" t="s">
        <v>3</v>
      </c>
      <c r="E7" s="88">
        <f>SUMIF(ЛСР!$B$13:$B$69,B7,ЛСР!$G$13:$G$69)</f>
        <v>1</v>
      </c>
      <c r="F7" s="88"/>
      <c r="G7" s="88">
        <f t="shared" si="1"/>
        <v>0</v>
      </c>
      <c r="H7" s="83"/>
    </row>
    <row r="8" spans="1:11" x14ac:dyDescent="0.3">
      <c r="A8" s="87">
        <f t="shared" si="0"/>
        <v>6</v>
      </c>
      <c r="B8" s="90" t="s">
        <v>37</v>
      </c>
      <c r="C8" s="89"/>
      <c r="D8" s="87" t="s">
        <v>38</v>
      </c>
      <c r="E8" s="88">
        <f>SUMIF(ЛСР!$B$13:$B$69,B8,ЛСР!$G$13:$G$69)</f>
        <v>1</v>
      </c>
      <c r="F8" s="88"/>
      <c r="G8" s="88">
        <f t="shared" si="1"/>
        <v>0</v>
      </c>
      <c r="H8" s="83"/>
    </row>
    <row r="9" spans="1:11" x14ac:dyDescent="0.3">
      <c r="F9" s="91" t="s">
        <v>110</v>
      </c>
      <c r="G9" s="92">
        <f>SUM(G3:G8)</f>
        <v>0</v>
      </c>
    </row>
    <row r="10" spans="1:11" x14ac:dyDescent="0.3">
      <c r="F10" s="91" t="s">
        <v>111</v>
      </c>
      <c r="G10" s="93">
        <f>G9-ЛСР!I71</f>
        <v>0</v>
      </c>
    </row>
    <row r="12" spans="1:11" x14ac:dyDescent="0.3">
      <c r="B12" s="94" t="s">
        <v>24</v>
      </c>
      <c r="C12" s="94"/>
      <c r="D12" s="95"/>
      <c r="G12" s="96"/>
      <c r="I12" s="97"/>
      <c r="J12" s="98"/>
      <c r="K12" s="97"/>
    </row>
    <row r="13" spans="1:11" ht="41.25" customHeight="1" x14ac:dyDescent="0.3">
      <c r="A13" s="99" t="s">
        <v>25</v>
      </c>
      <c r="B13" s="128" t="s">
        <v>26</v>
      </c>
      <c r="C13" s="128"/>
      <c r="D13" s="128"/>
      <c r="E13" s="128"/>
      <c r="F13" s="128"/>
      <c r="G13" s="128"/>
      <c r="H13" s="128"/>
      <c r="I13" s="100"/>
      <c r="J13" s="100"/>
      <c r="K13" s="101"/>
    </row>
    <row r="14" spans="1:11" ht="73.2" customHeight="1" x14ac:dyDescent="0.3">
      <c r="A14" s="102" t="s">
        <v>25</v>
      </c>
      <c r="B14" s="128" t="s">
        <v>27</v>
      </c>
      <c r="C14" s="128"/>
      <c r="D14" s="128"/>
      <c r="E14" s="128"/>
      <c r="F14" s="128"/>
      <c r="G14" s="128"/>
      <c r="H14" s="128"/>
      <c r="I14" s="100"/>
      <c r="J14" s="100"/>
      <c r="K14" s="103"/>
    </row>
    <row r="15" spans="1:11" ht="13.8" customHeight="1" x14ac:dyDescent="0.3">
      <c r="A15" s="99" t="s">
        <v>25</v>
      </c>
      <c r="B15" s="104" t="s">
        <v>28</v>
      </c>
      <c r="C15" s="104"/>
      <c r="D15" s="104"/>
      <c r="E15" s="104"/>
      <c r="F15" s="104"/>
      <c r="G15" s="104"/>
      <c r="H15" s="104"/>
      <c r="I15" s="104"/>
      <c r="J15" s="104"/>
      <c r="K15" s="105"/>
    </row>
  </sheetData>
  <mergeCells count="2">
    <mergeCell ref="B13:H13"/>
    <mergeCell ref="B14:H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CD81F-5362-4AB2-B297-F281C45DFE96}">
  <dimension ref="A1:K44"/>
  <sheetViews>
    <sheetView workbookViewId="0">
      <pane xSplit="10" ySplit="2" topLeftCell="K3" activePane="bottomRight" state="frozen"/>
      <selection activeCell="H3" sqref="H3:H12"/>
      <selection pane="topRight" activeCell="H3" sqref="H3:H12"/>
      <selection pane="bottomLeft" activeCell="H3" sqref="H3:H12"/>
      <selection pane="bottomRight" activeCell="I33" sqref="I33"/>
    </sheetView>
  </sheetViews>
  <sheetFormatPr defaultRowHeight="14.4" x14ac:dyDescent="0.3"/>
  <cols>
    <col min="1" max="1" width="8.88671875" style="106"/>
    <col min="2" max="2" width="35.6640625" style="106" customWidth="1"/>
    <col min="3" max="3" width="24.21875" style="106" customWidth="1"/>
    <col min="4" max="4" width="39.33203125" style="106" customWidth="1"/>
    <col min="5" max="7" width="8.88671875" style="106"/>
    <col min="8" max="8" width="15.88671875" style="106" customWidth="1"/>
    <col min="9" max="9" width="32.109375" style="106" customWidth="1"/>
    <col min="10" max="10" width="17.88671875" style="106" customWidth="1"/>
    <col min="11" max="16384" width="8.88671875" style="106"/>
  </cols>
  <sheetData>
    <row r="1" spans="1:10" x14ac:dyDescent="0.3">
      <c r="A1" s="106" t="s">
        <v>112</v>
      </c>
    </row>
    <row r="2" spans="1:10" ht="27.6" x14ac:dyDescent="0.3">
      <c r="A2" s="107" t="s">
        <v>35</v>
      </c>
      <c r="B2" s="84" t="s">
        <v>1</v>
      </c>
      <c r="C2" s="84" t="s">
        <v>20</v>
      </c>
      <c r="D2" s="84" t="s">
        <v>21</v>
      </c>
      <c r="E2" s="84" t="s">
        <v>11</v>
      </c>
      <c r="F2" s="85" t="s">
        <v>2</v>
      </c>
      <c r="G2" s="86" t="s">
        <v>8</v>
      </c>
      <c r="H2" s="86" t="s">
        <v>9</v>
      </c>
      <c r="I2" s="86" t="s">
        <v>10</v>
      </c>
      <c r="J2" s="86" t="s">
        <v>46</v>
      </c>
    </row>
    <row r="3" spans="1:10" ht="28.8" x14ac:dyDescent="0.3">
      <c r="A3" s="87">
        <f>ROW()-2</f>
        <v>1</v>
      </c>
      <c r="B3" s="108" t="s">
        <v>56</v>
      </c>
      <c r="C3" s="109"/>
      <c r="D3" s="110" t="s">
        <v>74</v>
      </c>
      <c r="E3" s="110" t="s">
        <v>4</v>
      </c>
      <c r="F3" s="88">
        <f>SUMIF(ЛСР!$B$13:$B$69,ТМЦ!B3,ЛСР!$G$13:$G$69)</f>
        <v>2100</v>
      </c>
      <c r="G3" s="111"/>
      <c r="H3" s="111">
        <f>G3*F3</f>
        <v>0</v>
      </c>
      <c r="I3" s="110">
        <f>VLOOKUP(B3,ЛСР!$B$13:$J$69,9,0)</f>
        <v>0</v>
      </c>
      <c r="J3" s="109"/>
    </row>
    <row r="4" spans="1:10" ht="28.8" x14ac:dyDescent="0.3">
      <c r="A4" s="87">
        <f t="shared" ref="A4:A37" si="0">ROW()-2</f>
        <v>2</v>
      </c>
      <c r="B4" s="108" t="s">
        <v>62</v>
      </c>
      <c r="C4" s="109" t="s">
        <v>63</v>
      </c>
      <c r="D4" s="110" t="s">
        <v>75</v>
      </c>
      <c r="E4" s="110" t="s">
        <v>4</v>
      </c>
      <c r="F4" s="88">
        <f>SUMIF(ЛСР!$B$13:$B$69,ТМЦ!B4,ЛСР!$G$13:$G$69)</f>
        <v>180</v>
      </c>
      <c r="G4" s="111"/>
      <c r="H4" s="111">
        <f t="shared" ref="H4:H37" si="1">G4*F4</f>
        <v>0</v>
      </c>
      <c r="I4" s="110">
        <f>VLOOKUP(B4,ЛСР!$B$13:$J$69,9,0)</f>
        <v>0</v>
      </c>
      <c r="J4" s="109"/>
    </row>
    <row r="5" spans="1:10" ht="28.8" x14ac:dyDescent="0.3">
      <c r="A5" s="87">
        <f t="shared" si="0"/>
        <v>3</v>
      </c>
      <c r="B5" s="108" t="s">
        <v>58</v>
      </c>
      <c r="C5" s="109" t="s">
        <v>64</v>
      </c>
      <c r="D5" s="110" t="s">
        <v>76</v>
      </c>
      <c r="E5" s="110" t="s">
        <v>4</v>
      </c>
      <c r="F5" s="88">
        <f>SUMIF(ЛСР!$B$13:$B$69,ТМЦ!B5,ЛСР!$G$13:$G$69)</f>
        <v>10</v>
      </c>
      <c r="G5" s="111"/>
      <c r="H5" s="111">
        <f t="shared" si="1"/>
        <v>0</v>
      </c>
      <c r="I5" s="110" t="str">
        <f>VLOOKUP(B5,ЛСР!$B$13:$J$69,9,0)</f>
        <v>заземление</v>
      </c>
      <c r="J5" s="109"/>
    </row>
    <row r="6" spans="1:10" x14ac:dyDescent="0.3">
      <c r="A6" s="87">
        <f t="shared" si="0"/>
        <v>4</v>
      </c>
      <c r="B6" s="108" t="s">
        <v>60</v>
      </c>
      <c r="C6" s="109"/>
      <c r="D6" s="110" t="s">
        <v>77</v>
      </c>
      <c r="E6" s="110" t="s">
        <v>4</v>
      </c>
      <c r="F6" s="88">
        <f>SUMIF(ЛСР!$B$13:$B$69,ТМЦ!B6,ЛСР!$G$13:$G$69)</f>
        <v>1660</v>
      </c>
      <c r="G6" s="111"/>
      <c r="H6" s="111">
        <f t="shared" si="1"/>
        <v>0</v>
      </c>
      <c r="I6" s="110">
        <f>VLOOKUP(B6,ЛСР!$B$13:$J$69,9,0)</f>
        <v>0</v>
      </c>
      <c r="J6" s="109"/>
    </row>
    <row r="7" spans="1:10" x14ac:dyDescent="0.3">
      <c r="A7" s="87">
        <f t="shared" si="0"/>
        <v>5</v>
      </c>
      <c r="B7" s="108" t="s">
        <v>61</v>
      </c>
      <c r="C7" s="109"/>
      <c r="D7" s="110" t="s">
        <v>78</v>
      </c>
      <c r="E7" s="110" t="s">
        <v>4</v>
      </c>
      <c r="F7" s="88">
        <f>SUMIF(ЛСР!$B$13:$B$69,ТМЦ!B7,ЛСР!$G$13:$G$69)</f>
        <v>220</v>
      </c>
      <c r="G7" s="111"/>
      <c r="H7" s="111">
        <f t="shared" si="1"/>
        <v>0</v>
      </c>
      <c r="I7" s="110">
        <f>VLOOKUP(B7,ЛСР!$B$13:$J$69,9,0)</f>
        <v>0</v>
      </c>
      <c r="J7" s="109"/>
    </row>
    <row r="8" spans="1:10" ht="31.2" customHeight="1" x14ac:dyDescent="0.3">
      <c r="A8" s="87">
        <f t="shared" si="0"/>
        <v>6</v>
      </c>
      <c r="B8" s="108" t="s">
        <v>66</v>
      </c>
      <c r="C8" s="109"/>
      <c r="D8" s="110" t="s">
        <v>102</v>
      </c>
      <c r="E8" s="110" t="s">
        <v>4</v>
      </c>
      <c r="F8" s="88">
        <f>SUMIF(ЛСР!$B$13:$B$69,ТМЦ!B8,ЛСР!$G$13:$G$69)</f>
        <v>120</v>
      </c>
      <c r="G8" s="111"/>
      <c r="H8" s="111">
        <f t="shared" si="1"/>
        <v>0</v>
      </c>
      <c r="I8" s="110">
        <f>VLOOKUP(B8,ЛСР!$B$13:$J$69,9,0)</f>
        <v>0</v>
      </c>
      <c r="J8" s="109"/>
    </row>
    <row r="9" spans="1:10" x14ac:dyDescent="0.3">
      <c r="A9" s="87">
        <f t="shared" si="0"/>
        <v>7</v>
      </c>
      <c r="B9" s="108" t="s">
        <v>106</v>
      </c>
      <c r="C9" s="109"/>
      <c r="D9" s="110" t="s">
        <v>103</v>
      </c>
      <c r="E9" s="110" t="s">
        <v>4</v>
      </c>
      <c r="F9" s="88">
        <f>SUMIF(ЛСР!$B$13:$B$69,ТМЦ!B9,ЛСР!$G$13:$G$69)</f>
        <v>12</v>
      </c>
      <c r="G9" s="111"/>
      <c r="H9" s="111">
        <f t="shared" si="1"/>
        <v>0</v>
      </c>
      <c r="I9" s="110">
        <f>VLOOKUP(B9,ЛСР!$B$13:$J$69,9,0)</f>
        <v>0</v>
      </c>
      <c r="J9" s="109"/>
    </row>
    <row r="10" spans="1:10" x14ac:dyDescent="0.3">
      <c r="A10" s="87">
        <f t="shared" si="0"/>
        <v>8</v>
      </c>
      <c r="B10" s="108" t="s">
        <v>104</v>
      </c>
      <c r="C10" s="109"/>
      <c r="D10" s="110" t="s">
        <v>105</v>
      </c>
      <c r="E10" s="110" t="s">
        <v>4</v>
      </c>
      <c r="F10" s="88">
        <f>SUMIF(ЛСР!$B$13:$B$69,ТМЦ!B10,ЛСР!$G$13:$G$69)</f>
        <v>50</v>
      </c>
      <c r="G10" s="111"/>
      <c r="H10" s="111">
        <f t="shared" si="1"/>
        <v>0</v>
      </c>
      <c r="I10" s="110">
        <f>VLOOKUP(B10,ЛСР!$B$13:$J$69,9,0)</f>
        <v>0</v>
      </c>
      <c r="J10" s="109"/>
    </row>
    <row r="11" spans="1:10" ht="28.8" x14ac:dyDescent="0.3">
      <c r="A11" s="87">
        <f t="shared" si="0"/>
        <v>9</v>
      </c>
      <c r="B11" s="108" t="s">
        <v>72</v>
      </c>
      <c r="C11" s="109"/>
      <c r="D11" s="110"/>
      <c r="E11" s="110" t="s">
        <v>5</v>
      </c>
      <c r="F11" s="88">
        <f>SUMIF(ЛСР!$B$13:$B$69,ТМЦ!B11,ЛСР!$G$13:$G$69)</f>
        <v>154</v>
      </c>
      <c r="G11" s="111"/>
      <c r="H11" s="111">
        <f t="shared" si="1"/>
        <v>0</v>
      </c>
      <c r="I11" s="110">
        <f>VLOOKUP(B11,ЛСР!$B$13:$J$69,9,0)</f>
        <v>0</v>
      </c>
      <c r="J11" s="109"/>
    </row>
    <row r="12" spans="1:10" ht="28.8" x14ac:dyDescent="0.3">
      <c r="A12" s="87">
        <f t="shared" si="0"/>
        <v>10</v>
      </c>
      <c r="B12" s="108" t="s">
        <v>73</v>
      </c>
      <c r="C12" s="109"/>
      <c r="D12" s="110"/>
      <c r="E12" s="110" t="s">
        <v>5</v>
      </c>
      <c r="F12" s="88">
        <f>SUMIF(ЛСР!$B$13:$B$69,ТМЦ!B12,ЛСР!$G$13:$G$69)</f>
        <v>80</v>
      </c>
      <c r="G12" s="111"/>
      <c r="H12" s="111">
        <f t="shared" si="1"/>
        <v>0</v>
      </c>
      <c r="I12" s="110">
        <f>VLOOKUP(B12,ЛСР!$B$13:$J$69,9,0)</f>
        <v>0</v>
      </c>
      <c r="J12" s="109"/>
    </row>
    <row r="13" spans="1:10" ht="33.6" customHeight="1" x14ac:dyDescent="0.3">
      <c r="A13" s="87">
        <f t="shared" si="0"/>
        <v>11</v>
      </c>
      <c r="B13" s="108" t="s">
        <v>97</v>
      </c>
      <c r="C13" s="109"/>
      <c r="D13" s="110"/>
      <c r="E13" s="110" t="s">
        <v>5</v>
      </c>
      <c r="F13" s="88">
        <f>SUMIF(ЛСР!$B$13:$B$69,ТМЦ!B13,ЛСР!$G$13:$G$69)</f>
        <v>4</v>
      </c>
      <c r="G13" s="111"/>
      <c r="H13" s="111">
        <f t="shared" si="1"/>
        <v>0</v>
      </c>
      <c r="I13" s="110">
        <f>VLOOKUP(B13,ЛСР!$B$13:$J$69,9,0)</f>
        <v>0</v>
      </c>
      <c r="J13" s="109"/>
    </row>
    <row r="14" spans="1:10" ht="57.6" x14ac:dyDescent="0.3">
      <c r="A14" s="87">
        <f t="shared" si="0"/>
        <v>12</v>
      </c>
      <c r="B14" s="108" t="s">
        <v>98</v>
      </c>
      <c r="C14" s="109"/>
      <c r="D14" s="110"/>
      <c r="E14" s="110" t="s">
        <v>5</v>
      </c>
      <c r="F14" s="88">
        <f>SUMIF(ЛСР!$B$13:$B$69,ТМЦ!B14,ЛСР!$G$13:$G$69)</f>
        <v>4</v>
      </c>
      <c r="G14" s="111"/>
      <c r="H14" s="111">
        <f t="shared" si="1"/>
        <v>0</v>
      </c>
      <c r="I14" s="110">
        <f>VLOOKUP(B14,ЛСР!$B$13:$J$69,9,0)</f>
        <v>0</v>
      </c>
      <c r="J14" s="109"/>
    </row>
    <row r="15" spans="1:10" ht="28.8" x14ac:dyDescent="0.3">
      <c r="A15" s="87">
        <f t="shared" si="0"/>
        <v>13</v>
      </c>
      <c r="B15" s="108" t="s">
        <v>99</v>
      </c>
      <c r="C15" s="109"/>
      <c r="D15" s="110"/>
      <c r="E15" s="110" t="s">
        <v>100</v>
      </c>
      <c r="F15" s="88">
        <f>SUMIF(ЛСР!$B$13:$B$69,ТМЦ!B15,ЛСР!$G$13:$G$69)</f>
        <v>415</v>
      </c>
      <c r="G15" s="111"/>
      <c r="H15" s="111">
        <f t="shared" si="1"/>
        <v>0</v>
      </c>
      <c r="I15" s="110">
        <f>VLOOKUP(B15,ЛСР!$B$13:$J$69,9,0)</f>
        <v>0</v>
      </c>
      <c r="J15" s="109"/>
    </row>
    <row r="16" spans="1:10" ht="43.2" x14ac:dyDescent="0.3">
      <c r="A16" s="87">
        <f t="shared" si="0"/>
        <v>14</v>
      </c>
      <c r="B16" s="108" t="s">
        <v>101</v>
      </c>
      <c r="C16" s="109"/>
      <c r="D16" s="110"/>
      <c r="E16" s="110" t="s">
        <v>5</v>
      </c>
      <c r="F16" s="88">
        <f>SUMIF(ЛСР!$B$13:$B$69,ТМЦ!B16,ЛСР!$G$13:$G$69)</f>
        <v>8300</v>
      </c>
      <c r="G16" s="111"/>
      <c r="H16" s="111">
        <f t="shared" si="1"/>
        <v>0</v>
      </c>
      <c r="I16" s="110">
        <f>VLOOKUP(B16,ЛСР!$B$13:$J$69,9,0)</f>
        <v>0</v>
      </c>
      <c r="J16" s="109"/>
    </row>
    <row r="17" spans="1:10" ht="43.2" x14ac:dyDescent="0.3">
      <c r="A17" s="87">
        <f t="shared" si="0"/>
        <v>15</v>
      </c>
      <c r="B17" s="108" t="s">
        <v>48</v>
      </c>
      <c r="C17" s="109"/>
      <c r="D17" s="110" t="s">
        <v>80</v>
      </c>
      <c r="E17" s="110" t="s">
        <v>5</v>
      </c>
      <c r="F17" s="88">
        <f>SUMIF(ЛСР!$B$13:$B$69,ТМЦ!B17,ЛСР!$G$13:$G$69)</f>
        <v>1</v>
      </c>
      <c r="G17" s="111"/>
      <c r="H17" s="111">
        <f t="shared" si="1"/>
        <v>0</v>
      </c>
      <c r="I17" s="110">
        <f>VLOOKUP(B17,ЛСР!$B$13:$J$69,9,0)</f>
        <v>0</v>
      </c>
      <c r="J17" s="109"/>
    </row>
    <row r="18" spans="1:10" ht="33.6" customHeight="1" x14ac:dyDescent="0.3">
      <c r="A18" s="87">
        <f t="shared" si="0"/>
        <v>16</v>
      </c>
      <c r="B18" s="108" t="s">
        <v>67</v>
      </c>
      <c r="C18" s="109"/>
      <c r="D18" s="110" t="s">
        <v>68</v>
      </c>
      <c r="E18" s="110" t="s">
        <v>5</v>
      </c>
      <c r="F18" s="88">
        <f>SUMIF(ЛСР!$B$13:$B$69,ТМЦ!B18,ЛСР!$G$13:$G$69)</f>
        <v>1</v>
      </c>
      <c r="G18" s="111"/>
      <c r="H18" s="111">
        <f t="shared" si="1"/>
        <v>0</v>
      </c>
      <c r="I18" s="110">
        <f>VLOOKUP(B18,ЛСР!$B$13:$J$69,9,0)</f>
        <v>0</v>
      </c>
      <c r="J18" s="109"/>
    </row>
    <row r="19" spans="1:10" ht="43.2" x14ac:dyDescent="0.3">
      <c r="A19" s="87">
        <f t="shared" si="0"/>
        <v>17</v>
      </c>
      <c r="B19" s="108" t="s">
        <v>53</v>
      </c>
      <c r="C19" s="109"/>
      <c r="D19" s="110" t="s">
        <v>69</v>
      </c>
      <c r="E19" s="110" t="s">
        <v>5</v>
      </c>
      <c r="F19" s="88">
        <f>SUMIF(ЛСР!$B$13:$B$69,ТМЦ!B19,ЛСР!$G$13:$G$69)</f>
        <v>1</v>
      </c>
      <c r="G19" s="111"/>
      <c r="H19" s="111">
        <f t="shared" si="1"/>
        <v>0</v>
      </c>
      <c r="I19" s="110">
        <f>VLOOKUP(B19,ЛСР!$B$13:$J$69,9,0)</f>
        <v>0</v>
      </c>
      <c r="J19" s="109"/>
    </row>
    <row r="20" spans="1:10" ht="33.6" customHeight="1" x14ac:dyDescent="0.3">
      <c r="A20" s="87">
        <f t="shared" si="0"/>
        <v>18</v>
      </c>
      <c r="B20" s="108" t="s">
        <v>50</v>
      </c>
      <c r="C20" s="109"/>
      <c r="D20" s="110" t="s">
        <v>49</v>
      </c>
      <c r="E20" s="110" t="s">
        <v>5</v>
      </c>
      <c r="F20" s="88">
        <f>SUMIF(ЛСР!$B$13:$B$69,ТМЦ!B20,ЛСР!$G$13:$G$69)</f>
        <v>1</v>
      </c>
      <c r="G20" s="111"/>
      <c r="H20" s="111">
        <f t="shared" si="1"/>
        <v>0</v>
      </c>
      <c r="I20" s="110">
        <f>VLOOKUP(B20,ЛСР!$B$13:$J$69,9,0)</f>
        <v>0</v>
      </c>
      <c r="J20" s="109"/>
    </row>
    <row r="21" spans="1:10" ht="33.6" customHeight="1" x14ac:dyDescent="0.3">
      <c r="A21" s="87">
        <f t="shared" si="0"/>
        <v>19</v>
      </c>
      <c r="B21" s="108" t="s">
        <v>51</v>
      </c>
      <c r="C21" s="109"/>
      <c r="D21" s="110" t="s">
        <v>52</v>
      </c>
      <c r="E21" s="110" t="s">
        <v>5</v>
      </c>
      <c r="F21" s="88">
        <f>SUMIF(ЛСР!$B$13:$B$69,ТМЦ!B21,ЛСР!$G$13:$G$69)</f>
        <v>1</v>
      </c>
      <c r="G21" s="111"/>
      <c r="H21" s="111">
        <f t="shared" si="1"/>
        <v>0</v>
      </c>
      <c r="I21" s="110">
        <f>VLOOKUP(B21,ЛСР!$B$13:$J$69,9,0)</f>
        <v>0</v>
      </c>
      <c r="J21" s="109"/>
    </row>
    <row r="22" spans="1:10" ht="33.6" customHeight="1" x14ac:dyDescent="0.3">
      <c r="A22" s="87">
        <f t="shared" si="0"/>
        <v>20</v>
      </c>
      <c r="B22" s="108" t="s">
        <v>6</v>
      </c>
      <c r="C22" s="109"/>
      <c r="D22" s="110" t="s">
        <v>81</v>
      </c>
      <c r="E22" s="110" t="s">
        <v>5</v>
      </c>
      <c r="F22" s="88">
        <f>SUMIF(ЛСР!$B$13:$B$69,ТМЦ!B22,ЛСР!$G$13:$G$69)</f>
        <v>4</v>
      </c>
      <c r="G22" s="111"/>
      <c r="H22" s="111">
        <f t="shared" si="1"/>
        <v>0</v>
      </c>
      <c r="I22" s="110">
        <f>VLOOKUP(B22,ЛСР!$B$13:$J$69,9,0)</f>
        <v>0</v>
      </c>
      <c r="J22" s="109"/>
    </row>
    <row r="23" spans="1:10" ht="43.2" x14ac:dyDescent="0.3">
      <c r="A23" s="87">
        <f t="shared" si="0"/>
        <v>21</v>
      </c>
      <c r="B23" s="108" t="s">
        <v>54</v>
      </c>
      <c r="C23" s="109"/>
      <c r="D23" s="110" t="s">
        <v>70</v>
      </c>
      <c r="E23" s="110" t="s">
        <v>5</v>
      </c>
      <c r="F23" s="88">
        <f>SUMIF(ЛСР!$B$13:$B$69,ТМЦ!B23,ЛСР!$G$13:$G$69)</f>
        <v>4</v>
      </c>
      <c r="G23" s="111"/>
      <c r="H23" s="111">
        <f t="shared" si="1"/>
        <v>0</v>
      </c>
      <c r="I23" s="110">
        <f>VLOOKUP(B23,ЛСР!$B$13:$J$69,9,0)</f>
        <v>0</v>
      </c>
      <c r="J23" s="109"/>
    </row>
    <row r="24" spans="1:10" ht="33.6" customHeight="1" x14ac:dyDescent="0.3">
      <c r="A24" s="87">
        <f t="shared" si="0"/>
        <v>22</v>
      </c>
      <c r="B24" s="108" t="s">
        <v>57</v>
      </c>
      <c r="C24" s="109"/>
      <c r="D24" s="110" t="s">
        <v>82</v>
      </c>
      <c r="E24" s="110" t="s">
        <v>5</v>
      </c>
      <c r="F24" s="88">
        <f>SUMIF(ЛСР!$B$13:$B$69,ТМЦ!B24,ЛСР!$G$13:$G$69)</f>
        <v>5</v>
      </c>
      <c r="G24" s="111"/>
      <c r="H24" s="111">
        <f t="shared" si="1"/>
        <v>0</v>
      </c>
      <c r="I24" s="110">
        <f>VLOOKUP(B24,ЛСР!$B$13:$J$69,9,0)</f>
        <v>0</v>
      </c>
      <c r="J24" s="109"/>
    </row>
    <row r="25" spans="1:10" ht="33.6" customHeight="1" x14ac:dyDescent="0.3">
      <c r="A25" s="87">
        <f t="shared" si="0"/>
        <v>23</v>
      </c>
      <c r="B25" s="108" t="s">
        <v>7</v>
      </c>
      <c r="C25" s="109"/>
      <c r="D25" s="110" t="s">
        <v>83</v>
      </c>
      <c r="E25" s="110" t="s">
        <v>5</v>
      </c>
      <c r="F25" s="88">
        <f>SUMIF(ЛСР!$B$13:$B$69,ТМЦ!B25,ЛСР!$G$13:$G$69)</f>
        <v>4</v>
      </c>
      <c r="G25" s="111"/>
      <c r="H25" s="111">
        <f t="shared" si="1"/>
        <v>0</v>
      </c>
      <c r="I25" s="110">
        <f>VLOOKUP(B25,ЛСР!$B$13:$J$69,9,0)</f>
        <v>0</v>
      </c>
      <c r="J25" s="109"/>
    </row>
    <row r="26" spans="1:10" ht="33.6" customHeight="1" x14ac:dyDescent="0.3">
      <c r="A26" s="87">
        <f t="shared" si="0"/>
        <v>24</v>
      </c>
      <c r="B26" s="108" t="s">
        <v>59</v>
      </c>
      <c r="C26" s="109"/>
      <c r="D26" s="110" t="s">
        <v>84</v>
      </c>
      <c r="E26" s="110" t="s">
        <v>5</v>
      </c>
      <c r="F26" s="88">
        <f>SUMIF(ЛСР!$B$13:$B$69,ТМЦ!B26,ЛСР!$G$13:$G$69)</f>
        <v>225</v>
      </c>
      <c r="G26" s="111"/>
      <c r="H26" s="111">
        <f t="shared" si="1"/>
        <v>0</v>
      </c>
      <c r="I26" s="110">
        <f>VLOOKUP(B26,ЛСР!$B$13:$J$69,9,0)</f>
        <v>0</v>
      </c>
      <c r="J26" s="109"/>
    </row>
    <row r="27" spans="1:10" ht="33.6" customHeight="1" x14ac:dyDescent="0.3">
      <c r="A27" s="87">
        <f t="shared" si="0"/>
        <v>25</v>
      </c>
      <c r="B27" s="108" t="s">
        <v>71</v>
      </c>
      <c r="C27" s="109"/>
      <c r="D27" s="110"/>
      <c r="E27" s="110" t="s">
        <v>5</v>
      </c>
      <c r="F27" s="88">
        <f>SUMIF(ЛСР!$B$13:$B$69,ТМЦ!B27,ЛСР!$G$13:$G$69)</f>
        <v>1</v>
      </c>
      <c r="G27" s="111"/>
      <c r="H27" s="111">
        <f t="shared" si="1"/>
        <v>0</v>
      </c>
      <c r="I27" s="110">
        <f>VLOOKUP(B27,ЛСР!$B$13:$J$69,9,0)</f>
        <v>0</v>
      </c>
      <c r="J27" s="109"/>
    </row>
    <row r="28" spans="1:10" ht="33.6" customHeight="1" x14ac:dyDescent="0.3">
      <c r="A28" s="87">
        <f t="shared" si="0"/>
        <v>26</v>
      </c>
      <c r="B28" s="108" t="s">
        <v>65</v>
      </c>
      <c r="C28" s="109"/>
      <c r="D28" s="110"/>
      <c r="E28" s="110" t="s">
        <v>5</v>
      </c>
      <c r="F28" s="88">
        <f>SUMIF(ЛСР!$B$13:$B$69,ТМЦ!B28,ЛСР!$G$13:$G$69)</f>
        <v>2</v>
      </c>
      <c r="G28" s="111"/>
      <c r="H28" s="111">
        <f t="shared" si="1"/>
        <v>0</v>
      </c>
      <c r="I28" s="110">
        <f>VLOOKUP(B28,ЛСР!$B$13:$J$69,9,0)</f>
        <v>0</v>
      </c>
      <c r="J28" s="109"/>
    </row>
    <row r="29" spans="1:10" ht="33.6" customHeight="1" x14ac:dyDescent="0.3">
      <c r="A29" s="87">
        <f t="shared" si="0"/>
        <v>27</v>
      </c>
      <c r="B29" s="108" t="s">
        <v>85</v>
      </c>
      <c r="C29" s="109"/>
      <c r="D29" s="110" t="s">
        <v>86</v>
      </c>
      <c r="E29" s="110" t="s">
        <v>5</v>
      </c>
      <c r="F29" s="88">
        <f>SUMIF(ЛСР!$B$13:$B$69,ТМЦ!B29,ЛСР!$G$13:$G$69)</f>
        <v>8</v>
      </c>
      <c r="G29" s="111"/>
      <c r="H29" s="111">
        <f t="shared" si="1"/>
        <v>0</v>
      </c>
      <c r="I29" s="110">
        <f>VLOOKUP(B29,ЛСР!$B$13:$J$69,9,0)</f>
        <v>0</v>
      </c>
      <c r="J29" s="109"/>
    </row>
    <row r="30" spans="1:10" ht="33.6" customHeight="1" x14ac:dyDescent="0.3">
      <c r="A30" s="87">
        <f t="shared" si="0"/>
        <v>28</v>
      </c>
      <c r="B30" s="108" t="s">
        <v>113</v>
      </c>
      <c r="C30" s="109"/>
      <c r="D30" s="110" t="s">
        <v>87</v>
      </c>
      <c r="E30" s="110" t="s">
        <v>5</v>
      </c>
      <c r="F30" s="88">
        <f>SUMIF(ЛСР!$B$13:$B$69,ТМЦ!B30,ЛСР!$G$13:$G$69)</f>
        <v>6</v>
      </c>
      <c r="G30" s="111"/>
      <c r="H30" s="111">
        <f t="shared" si="1"/>
        <v>0</v>
      </c>
      <c r="I30" s="110">
        <f>VLOOKUP(B30,ЛСР!$B$13:$J$69,9,0)</f>
        <v>0</v>
      </c>
      <c r="J30" s="109"/>
    </row>
    <row r="31" spans="1:10" ht="33.6" customHeight="1" x14ac:dyDescent="0.3">
      <c r="A31" s="87">
        <f t="shared" si="0"/>
        <v>29</v>
      </c>
      <c r="B31" s="108" t="s">
        <v>114</v>
      </c>
      <c r="C31" s="109"/>
      <c r="D31" s="110" t="s">
        <v>88</v>
      </c>
      <c r="E31" s="110" t="s">
        <v>5</v>
      </c>
      <c r="F31" s="88">
        <f>SUMIF(ЛСР!$B$13:$B$69,ТМЦ!B31,ЛСР!$G$13:$G$69)</f>
        <v>6</v>
      </c>
      <c r="G31" s="111"/>
      <c r="H31" s="111">
        <f t="shared" si="1"/>
        <v>0</v>
      </c>
      <c r="I31" s="110">
        <f>VLOOKUP(B31,ЛСР!$B$13:$J$69,9,0)</f>
        <v>0</v>
      </c>
      <c r="J31" s="109"/>
    </row>
    <row r="32" spans="1:10" ht="33.6" customHeight="1" x14ac:dyDescent="0.3">
      <c r="A32" s="87">
        <f t="shared" si="0"/>
        <v>30</v>
      </c>
      <c r="B32" s="108" t="s">
        <v>115</v>
      </c>
      <c r="C32" s="109"/>
      <c r="D32" s="110" t="s">
        <v>89</v>
      </c>
      <c r="E32" s="110" t="s">
        <v>5</v>
      </c>
      <c r="F32" s="88">
        <f>SUMIF(ЛСР!$B$13:$B$69,ТМЦ!B32,ЛСР!$G$13:$G$69)</f>
        <v>7</v>
      </c>
      <c r="G32" s="111"/>
      <c r="H32" s="111">
        <f t="shared" si="1"/>
        <v>0</v>
      </c>
      <c r="I32" s="110">
        <f>VLOOKUP(B32,ЛСР!$B$13:$J$69,9,0)</f>
        <v>0</v>
      </c>
      <c r="J32" s="109"/>
    </row>
    <row r="33" spans="1:11" ht="33.6" customHeight="1" x14ac:dyDescent="0.3">
      <c r="A33" s="87">
        <f t="shared" si="0"/>
        <v>31</v>
      </c>
      <c r="B33" s="108" t="s">
        <v>116</v>
      </c>
      <c r="C33" s="109"/>
      <c r="D33" s="110" t="s">
        <v>90</v>
      </c>
      <c r="E33" s="110" t="s">
        <v>5</v>
      </c>
      <c r="F33" s="88">
        <f>SUMIF(ЛСР!$B$13:$B$69,ТМЦ!B33,ЛСР!$G$13:$G$69)</f>
        <v>4</v>
      </c>
      <c r="G33" s="111"/>
      <c r="H33" s="111">
        <f t="shared" si="1"/>
        <v>0</v>
      </c>
      <c r="I33" s="110">
        <f>VLOOKUP(B33,ЛСР!$B$13:$J$69,9,0)</f>
        <v>0</v>
      </c>
      <c r="J33" s="109"/>
    </row>
    <row r="34" spans="1:11" ht="33.6" customHeight="1" x14ac:dyDescent="0.3">
      <c r="A34" s="87">
        <f t="shared" si="0"/>
        <v>32</v>
      </c>
      <c r="B34" s="108" t="s">
        <v>117</v>
      </c>
      <c r="C34" s="109"/>
      <c r="D34" s="110" t="s">
        <v>91</v>
      </c>
      <c r="E34" s="110" t="s">
        <v>5</v>
      </c>
      <c r="F34" s="88">
        <f>SUMIF(ЛСР!$B$13:$B$69,ТМЦ!B34,ЛСР!$G$13:$G$69)</f>
        <v>4</v>
      </c>
      <c r="G34" s="111"/>
      <c r="H34" s="111">
        <f t="shared" si="1"/>
        <v>0</v>
      </c>
      <c r="I34" s="110">
        <f>VLOOKUP(B34,ЛСР!$B$13:$J$69,9,0)</f>
        <v>0</v>
      </c>
      <c r="J34" s="109"/>
    </row>
    <row r="35" spans="1:11" ht="33.6" customHeight="1" x14ac:dyDescent="0.3">
      <c r="A35" s="87">
        <f t="shared" si="0"/>
        <v>33</v>
      </c>
      <c r="B35" s="108" t="s">
        <v>118</v>
      </c>
      <c r="C35" s="109"/>
      <c r="D35" s="110" t="s">
        <v>92</v>
      </c>
      <c r="E35" s="110" t="s">
        <v>5</v>
      </c>
      <c r="F35" s="88">
        <f>SUMIF(ЛСР!$B$13:$B$69,ТМЦ!B35,ЛСР!$G$13:$G$69)</f>
        <v>3</v>
      </c>
      <c r="G35" s="111"/>
      <c r="H35" s="111">
        <f t="shared" si="1"/>
        <v>0</v>
      </c>
      <c r="I35" s="110">
        <f>VLOOKUP(B35,ЛСР!$B$13:$J$69,9,0)</f>
        <v>0</v>
      </c>
      <c r="J35" s="109"/>
    </row>
    <row r="36" spans="1:11" ht="33.6" customHeight="1" x14ac:dyDescent="0.3">
      <c r="A36" s="87">
        <f t="shared" si="0"/>
        <v>34</v>
      </c>
      <c r="B36" s="108" t="s">
        <v>119</v>
      </c>
      <c r="C36" s="109"/>
      <c r="D36" s="110" t="s">
        <v>94</v>
      </c>
      <c r="E36" s="110" t="s">
        <v>5</v>
      </c>
      <c r="F36" s="88">
        <f>SUMIF(ЛСР!$B$13:$B$69,ТМЦ!B36,ЛСР!$G$13:$G$69)</f>
        <v>1</v>
      </c>
      <c r="G36" s="111"/>
      <c r="H36" s="111">
        <f t="shared" si="1"/>
        <v>0</v>
      </c>
      <c r="I36" s="110">
        <f>VLOOKUP(B36,ЛСР!$B$13:$J$69,9,0)</f>
        <v>0</v>
      </c>
      <c r="J36" s="109"/>
    </row>
    <row r="37" spans="1:11" ht="33.6" customHeight="1" x14ac:dyDescent="0.3">
      <c r="A37" s="87">
        <f t="shared" si="0"/>
        <v>35</v>
      </c>
      <c r="B37" s="108" t="s">
        <v>93</v>
      </c>
      <c r="C37" s="109"/>
      <c r="D37" s="110" t="s">
        <v>95</v>
      </c>
      <c r="E37" s="110" t="s">
        <v>5</v>
      </c>
      <c r="F37" s="88">
        <f>SUMIF(ЛСР!$B$13:$B$69,ТМЦ!B37,ЛСР!$G$13:$G$69)</f>
        <v>1</v>
      </c>
      <c r="G37" s="111"/>
      <c r="H37" s="111">
        <f t="shared" si="1"/>
        <v>0</v>
      </c>
      <c r="I37" s="110">
        <f>VLOOKUP(B37,ЛСР!$B$13:$J$69,9,0)</f>
        <v>0</v>
      </c>
      <c r="J37" s="109"/>
    </row>
    <row r="38" spans="1:11" x14ac:dyDescent="0.3">
      <c r="G38" s="91" t="s">
        <v>110</v>
      </c>
      <c r="H38" s="92">
        <f>SUM(H3:H37)</f>
        <v>0</v>
      </c>
    </row>
    <row r="39" spans="1:11" x14ac:dyDescent="0.3">
      <c r="G39" s="91" t="s">
        <v>111</v>
      </c>
      <c r="H39" s="93">
        <f>H38-ЛСР!I72</f>
        <v>0</v>
      </c>
    </row>
    <row r="41" spans="1:11" s="82" customFormat="1" ht="13.8" x14ac:dyDescent="0.3">
      <c r="B41" s="94" t="s">
        <v>24</v>
      </c>
      <c r="C41" s="94"/>
      <c r="D41" s="95"/>
      <c r="E41" s="95"/>
      <c r="G41" s="96"/>
      <c r="I41" s="97"/>
      <c r="J41" s="98"/>
      <c r="K41" s="97"/>
    </row>
    <row r="42" spans="1:11" s="82" customFormat="1" ht="41.25" customHeight="1" x14ac:dyDescent="0.3">
      <c r="A42" s="99" t="s">
        <v>25</v>
      </c>
      <c r="B42" s="128" t="s">
        <v>26</v>
      </c>
      <c r="C42" s="128"/>
      <c r="D42" s="128"/>
      <c r="E42" s="128"/>
      <c r="F42" s="128"/>
      <c r="G42" s="128"/>
      <c r="H42" s="128"/>
      <c r="I42" s="100"/>
      <c r="J42" s="100"/>
      <c r="K42" s="101"/>
    </row>
    <row r="43" spans="1:11" s="82" customFormat="1" ht="73.2" customHeight="1" x14ac:dyDescent="0.3">
      <c r="A43" s="102" t="s">
        <v>25</v>
      </c>
      <c r="B43" s="128" t="s">
        <v>27</v>
      </c>
      <c r="C43" s="128"/>
      <c r="D43" s="128"/>
      <c r="E43" s="128"/>
      <c r="F43" s="128"/>
      <c r="G43" s="128"/>
      <c r="H43" s="128"/>
      <c r="I43" s="100"/>
      <c r="J43" s="100"/>
      <c r="K43" s="103"/>
    </row>
    <row r="44" spans="1:11" s="82" customFormat="1" ht="13.8" customHeight="1" x14ac:dyDescent="0.3">
      <c r="A44" s="99" t="s">
        <v>25</v>
      </c>
      <c r="B44" s="104" t="s">
        <v>28</v>
      </c>
      <c r="C44" s="104"/>
      <c r="D44" s="104"/>
      <c r="E44" s="104"/>
      <c r="F44" s="104"/>
      <c r="G44" s="104"/>
      <c r="H44" s="104"/>
      <c r="I44" s="104"/>
      <c r="J44" s="104"/>
      <c r="K44" s="105"/>
    </row>
  </sheetData>
  <mergeCells count="2">
    <mergeCell ref="B42:H42"/>
    <mergeCell ref="B43:H43"/>
  </mergeCells>
  <conditionalFormatting sqref="B1:B1048576">
    <cfRule type="duplicateValues" dxfId="2" priority="1"/>
    <cfRule type="duplicateValues" dxfId="1" priority="3"/>
  </conditionalFormatting>
  <conditionalFormatting sqref="I3:I37">
    <cfRule type="cellIs" dxfId="0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ЛСР</vt:lpstr>
      <vt:lpstr>СМР</vt:lpstr>
      <vt:lpstr>ТМЦ</vt:lpstr>
      <vt:lpstr>ЛСР!Область_печати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2026-02-18T17:30:11Z</dcterms:modified>
</cp:coreProperties>
</file>