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/>
  <xr:revisionPtr revIDLastSave="0" documentId="13_ncr:1_{1196B118-FA2C-486C-A936-E8236C5635ED}" xr6:coauthVersionLast="47" xr6:coauthVersionMax="47" xr10:uidLastSave="{00000000-0000-0000-0000-000000000000}"/>
  <bookViews>
    <workbookView xWindow="-108" yWindow="-108" windowWidth="23256" windowHeight="12576" tabRatio="713" xr2:uid="{00000000-000D-0000-FFFF-FFFF00000000}"/>
  </bookViews>
  <sheets>
    <sheet name="11.23" sheetId="14" r:id="rId1"/>
    <sheet name="СМР" sheetId="15" r:id="rId2"/>
    <sheet name="ТМЦ" sheetId="16" r:id="rId3"/>
  </sheets>
  <externalReferences>
    <externalReference r:id="rId4"/>
  </externalReferences>
  <definedNames>
    <definedName name="_xlnm._FilterDatabase" localSheetId="0" hidden="1">'11.23'!$A$12:$L$54</definedName>
    <definedName name="Данные">[1]Тестовый!$F$10:$H$14</definedName>
    <definedName name="_xlnm.Print_Area" localSheetId="0">'11.23'!$A$1:$L$59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3" i="14" l="1"/>
  <c r="L42" i="14"/>
  <c r="L41" i="14"/>
  <c r="L40" i="14"/>
  <c r="L39" i="14"/>
  <c r="L38" i="14"/>
  <c r="L37" i="14"/>
  <c r="L36" i="14"/>
  <c r="L35" i="14"/>
  <c r="L34" i="14"/>
  <c r="L33" i="14"/>
  <c r="L32" i="14"/>
  <c r="L31" i="14"/>
  <c r="L22" i="14"/>
  <c r="L23" i="14"/>
  <c r="L24" i="14"/>
  <c r="L25" i="14"/>
  <c r="L26" i="14"/>
  <c r="L27" i="14"/>
  <c r="L28" i="14"/>
  <c r="L29" i="14"/>
  <c r="L21" i="14"/>
  <c r="I48" i="14"/>
  <c r="I47" i="14"/>
  <c r="I19" i="14"/>
  <c r="I43" i="14"/>
  <c r="I42" i="14"/>
  <c r="I41" i="14"/>
  <c r="I40" i="14"/>
  <c r="I39" i="14"/>
  <c r="I38" i="14"/>
  <c r="I37" i="14"/>
  <c r="I36" i="14"/>
  <c r="I35" i="14"/>
  <c r="I34" i="14"/>
  <c r="I33" i="14"/>
  <c r="I32" i="14"/>
  <c r="I31" i="14"/>
  <c r="I29" i="14"/>
  <c r="I28" i="14"/>
  <c r="I27" i="14"/>
  <c r="I26" i="14"/>
  <c r="I25" i="14"/>
  <c r="I24" i="14"/>
  <c r="I23" i="14"/>
  <c r="I22" i="14"/>
  <c r="I21" i="14"/>
  <c r="I18" i="14"/>
  <c r="A11" i="16"/>
  <c r="A12" i="16"/>
  <c r="A13" i="16"/>
  <c r="A14" i="16"/>
  <c r="A15" i="16"/>
  <c r="A16" i="16"/>
  <c r="A17" i="16"/>
  <c r="A18" i="16"/>
  <c r="K4" i="16"/>
  <c r="K5" i="16"/>
  <c r="K6" i="16"/>
  <c r="K7" i="16"/>
  <c r="F8" i="16"/>
  <c r="G8" i="16"/>
  <c r="K8" i="16"/>
  <c r="F9" i="16"/>
  <c r="G9" i="16"/>
  <c r="K9" i="16"/>
  <c r="F10" i="16"/>
  <c r="G10" i="16"/>
  <c r="K10" i="16"/>
  <c r="F11" i="16"/>
  <c r="G11" i="16"/>
  <c r="K11" i="16"/>
  <c r="K12" i="16"/>
  <c r="F13" i="16"/>
  <c r="G13" i="16"/>
  <c r="K13" i="16"/>
  <c r="F14" i="16"/>
  <c r="G14" i="16"/>
  <c r="K14" i="16"/>
  <c r="F15" i="16"/>
  <c r="G15" i="16"/>
  <c r="K15" i="16"/>
  <c r="F16" i="16"/>
  <c r="G16" i="16"/>
  <c r="K16" i="16"/>
  <c r="F17" i="16"/>
  <c r="G17" i="16"/>
  <c r="K17" i="16"/>
  <c r="F18" i="16"/>
  <c r="G18" i="16"/>
  <c r="K18" i="16"/>
  <c r="F19" i="16"/>
  <c r="G19" i="16"/>
  <c r="K19" i="16"/>
  <c r="F20" i="16"/>
  <c r="G20" i="16"/>
  <c r="K20" i="16"/>
  <c r="F21" i="16"/>
  <c r="G21" i="16"/>
  <c r="K21" i="16"/>
  <c r="F22" i="16"/>
  <c r="G22" i="16"/>
  <c r="K22" i="16"/>
  <c r="F23" i="16"/>
  <c r="G23" i="16"/>
  <c r="K23" i="16"/>
  <c r="F24" i="16"/>
  <c r="G24" i="16"/>
  <c r="K24" i="16"/>
  <c r="K3" i="16"/>
  <c r="G3" i="16"/>
  <c r="F3" i="16"/>
  <c r="A22" i="16"/>
  <c r="A23" i="16"/>
  <c r="E4" i="15"/>
  <c r="F4" i="15"/>
  <c r="E5" i="15"/>
  <c r="F5" i="15"/>
  <c r="E6" i="15"/>
  <c r="F6" i="15"/>
  <c r="F3" i="15"/>
  <c r="E3" i="15"/>
  <c r="A5" i="15"/>
  <c r="A24" i="16"/>
  <c r="A21" i="16"/>
  <c r="A20" i="16"/>
  <c r="A19" i="16"/>
  <c r="A10" i="16"/>
  <c r="A9" i="16"/>
  <c r="A8" i="16"/>
  <c r="A7" i="16"/>
  <c r="A6" i="16"/>
  <c r="A5" i="16"/>
  <c r="A4" i="16"/>
  <c r="A3" i="16"/>
  <c r="A6" i="15"/>
  <c r="A4" i="15"/>
  <c r="A3" i="15"/>
  <c r="F31" i="14"/>
  <c r="F12" i="16" s="1"/>
  <c r="H36" i="14"/>
  <c r="G31" i="14"/>
  <c r="G12" i="16" s="1"/>
  <c r="G24" i="14"/>
  <c r="G6" i="16" s="1"/>
  <c r="F24" i="14"/>
  <c r="F6" i="16" s="1"/>
  <c r="G25" i="14"/>
  <c r="G7" i="16" s="1"/>
  <c r="F25" i="14"/>
  <c r="F7" i="16" s="1"/>
  <c r="G23" i="14"/>
  <c r="G5" i="16" s="1"/>
  <c r="F23" i="14"/>
  <c r="F5" i="16" s="1"/>
  <c r="G22" i="14"/>
  <c r="G4" i="16" s="1"/>
  <c r="F22" i="14"/>
  <c r="F4" i="16" s="1"/>
  <c r="J36" i="14" l="1"/>
  <c r="H17" i="16"/>
  <c r="J17" i="16" s="1"/>
  <c r="H24" i="14"/>
  <c r="H31" i="14"/>
  <c r="J31" i="14" l="1"/>
  <c r="H12" i="16"/>
  <c r="J12" i="16" s="1"/>
  <c r="J24" i="14"/>
  <c r="H6" i="16"/>
  <c r="J6" i="16" s="1"/>
  <c r="H28" i="14"/>
  <c r="H37" i="14"/>
  <c r="H32" i="14"/>
  <c r="H21" i="14"/>
  <c r="J28" i="14" l="1"/>
  <c r="H10" i="16"/>
  <c r="J10" i="16" s="1"/>
  <c r="J21" i="14"/>
  <c r="H3" i="16"/>
  <c r="J3" i="16" s="1"/>
  <c r="J32" i="14"/>
  <c r="H13" i="16"/>
  <c r="J13" i="16" s="1"/>
  <c r="J37" i="14"/>
  <c r="H18" i="16"/>
  <c r="J18" i="16" s="1"/>
  <c r="H34" i="14"/>
  <c r="H22" i="14"/>
  <c r="H23" i="14"/>
  <c r="H26" i="14"/>
  <c r="H29" i="14"/>
  <c r="H33" i="14"/>
  <c r="H27" i="14"/>
  <c r="H35" i="14"/>
  <c r="H38" i="14"/>
  <c r="H39" i="14"/>
  <c r="H40" i="14"/>
  <c r="H41" i="14"/>
  <c r="H42" i="14"/>
  <c r="H43" i="14"/>
  <c r="H25" i="14"/>
  <c r="J35" i="14" l="1"/>
  <c r="H16" i="16"/>
  <c r="J16" i="16" s="1"/>
  <c r="J33" i="14"/>
  <c r="H14" i="16"/>
  <c r="J14" i="16" s="1"/>
  <c r="J29" i="14"/>
  <c r="H11" i="16"/>
  <c r="J11" i="16" s="1"/>
  <c r="J40" i="14"/>
  <c r="H21" i="16"/>
  <c r="J21" i="16" s="1"/>
  <c r="J27" i="14"/>
  <c r="H9" i="16"/>
  <c r="J9" i="16" s="1"/>
  <c r="J43" i="14"/>
  <c r="H24" i="16"/>
  <c r="J24" i="16" s="1"/>
  <c r="J42" i="14"/>
  <c r="H23" i="16"/>
  <c r="J23" i="16" s="1"/>
  <c r="J41" i="14"/>
  <c r="H22" i="16"/>
  <c r="J22" i="16" s="1"/>
  <c r="J26" i="14"/>
  <c r="H8" i="16"/>
  <c r="J8" i="16" s="1"/>
  <c r="J39" i="14"/>
  <c r="H20" i="16"/>
  <c r="J20" i="16" s="1"/>
  <c r="J38" i="14"/>
  <c r="H19" i="16"/>
  <c r="J19" i="16" s="1"/>
  <c r="J34" i="14"/>
  <c r="H15" i="16"/>
  <c r="J15" i="16" s="1"/>
  <c r="J25" i="14"/>
  <c r="H7" i="16"/>
  <c r="J7" i="16" s="1"/>
  <c r="J23" i="14"/>
  <c r="H5" i="16"/>
  <c r="J5" i="16" s="1"/>
  <c r="J22" i="14"/>
  <c r="H4" i="16"/>
  <c r="J4" i="16" s="1"/>
  <c r="H19" i="14"/>
  <c r="G4" i="15" s="1"/>
  <c r="I4" i="15" s="1"/>
  <c r="H18" i="14"/>
  <c r="J30" i="14" l="1"/>
  <c r="J20" i="14" s="1"/>
  <c r="J25" i="16"/>
  <c r="J18" i="14"/>
  <c r="G3" i="15"/>
  <c r="I3" i="15" s="1"/>
  <c r="J19" i="14"/>
  <c r="J53" i="14" l="1"/>
  <c r="J26" i="16" s="1"/>
  <c r="J17" i="14"/>
  <c r="H47" i="14"/>
  <c r="H48" i="14"/>
  <c r="H30" i="14" l="1"/>
  <c r="J48" i="14"/>
  <c r="G6" i="15"/>
  <c r="I6" i="15" s="1"/>
  <c r="J47" i="14"/>
  <c r="G5" i="15"/>
  <c r="I5" i="15" s="1"/>
  <c r="J46" i="14" l="1"/>
  <c r="I7" i="15"/>
  <c r="J16" i="14"/>
  <c r="J52" i="14" l="1"/>
  <c r="I8" i="15" s="1"/>
  <c r="J45" i="14"/>
  <c r="J51" i="14" s="1"/>
  <c r="J54" i="14" s="1"/>
</calcChain>
</file>

<file path=xl/sharedStrings.xml><?xml version="1.0" encoding="utf-8"?>
<sst xmlns="http://schemas.openxmlformats.org/spreadsheetml/2006/main" count="221" uniqueCount="91">
  <si>
    <t>№</t>
  </si>
  <si>
    <t>Наименование</t>
  </si>
  <si>
    <t>Кол-во</t>
  </si>
  <si>
    <t>шт.</t>
  </si>
  <si>
    <t>комплекс</t>
  </si>
  <si>
    <t>ПНР</t>
  </si>
  <si>
    <t>Цена</t>
  </si>
  <si>
    <t>Сумма</t>
  </si>
  <si>
    <t>Примечание</t>
  </si>
  <si>
    <t>Ед. изм.</t>
  </si>
  <si>
    <t xml:space="preserve">Внутренние инженерные сети </t>
  </si>
  <si>
    <t>Работа:</t>
  </si>
  <si>
    <t>Материалы:</t>
  </si>
  <si>
    <t>Установка оборудования</t>
  </si>
  <si>
    <t>в тч стоимость работ:</t>
  </si>
  <si>
    <t>в тч стоимость материалов:</t>
  </si>
  <si>
    <t>Марка</t>
  </si>
  <si>
    <t>Характеристика</t>
  </si>
  <si>
    <t>-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</si>
  <si>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</si>
  <si>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</si>
  <si>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</si>
  <si>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</si>
  <si>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</si>
  <si>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Форма закупа материала</t>
  </si>
  <si>
    <t>Блок управления</t>
  </si>
  <si>
    <t xml:space="preserve">Gidrolock </t>
  </si>
  <si>
    <t>11.11.06</t>
  </si>
  <si>
    <t>11.11.06.00.</t>
  </si>
  <si>
    <t>Пусконаладочные работы тип 1</t>
  </si>
  <si>
    <t>Пусконаладочные работы тип 2</t>
  </si>
  <si>
    <t>Примечание: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</si>
  <si>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</si>
  <si>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</si>
  <si>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</si>
  <si>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11.23.</t>
  </si>
  <si>
    <t>Система "Безопасный дом"</t>
  </si>
  <si>
    <t>11.23.01</t>
  </si>
  <si>
    <t>11.23.01.00.</t>
  </si>
  <si>
    <t>Кран шаровой с электроприводом</t>
  </si>
  <si>
    <t>Кабель тип 2</t>
  </si>
  <si>
    <t>Скотчлок соединитель EC-SL-UY2-YL-100</t>
  </si>
  <si>
    <t>Монтажная лента текстильная под пистолет</t>
  </si>
  <si>
    <t>Дюбель-хомут 5-10мм нейлон (100шт. в пч.)</t>
  </si>
  <si>
    <t>Коробка ответвит. с гладкими стенками, IP56, 300х220х120мм</t>
  </si>
  <si>
    <t>Колодка клеммная пружинная JXB-ST-2.5 28А 3 вывода серая EKF PROxima (PLC-JXB-ST-2.5-3)</t>
  </si>
  <si>
    <t>Кабельный ввод (сальник) PG 13.5 (IP68) d отверстия 6-12 мм</t>
  </si>
  <si>
    <t>Din-рейка REXANT 25см</t>
  </si>
  <si>
    <t>Контактная проводящая паста КПП 100 гр. КВТ</t>
  </si>
  <si>
    <t xml:space="preserve">Извещатель охранный магнитоконтактный врезной монтаж «ИО 102-6» </t>
  </si>
  <si>
    <t>м.</t>
  </si>
  <si>
    <t>Датчик протечки воды беспроводной</t>
  </si>
  <si>
    <t xml:space="preserve"> WSR (радио) белый</t>
  </si>
  <si>
    <t xml:space="preserve"> КСПВ 4х0,5</t>
  </si>
  <si>
    <t xml:space="preserve">Труба </t>
  </si>
  <si>
    <t>гофрированная ПНД легкая безгалогенная (HF) зонд д16</t>
  </si>
  <si>
    <t>монтажный МКШнг(А)-LS 5х0.75</t>
  </si>
  <si>
    <t>%</t>
  </si>
  <si>
    <t>_________________/</t>
  </si>
  <si>
    <t xml:space="preserve"> STANDARD RADIO (1) DIN-рейка, арт. 22021231</t>
  </si>
  <si>
    <t>ШЭП ULTIMATE 220V G-LOCK 1/2" BS (11092061))</t>
  </si>
  <si>
    <t>Шина PE земля на DIN-изоляторах ШНИ-6х9-16-Д-Ж YNN10-69-16D-K05 IEK</t>
  </si>
  <si>
    <t>Кабель тип 3</t>
  </si>
  <si>
    <t>Кабель тип 4</t>
  </si>
  <si>
    <t>ПуГВ 1х6 жёлто-зелёный многопроволочный</t>
  </si>
  <si>
    <t>Автоматический выключатель 1P 5А (В) 4,5kA ВА 47-63 EKF PROxima</t>
  </si>
  <si>
    <t>72.214.1</t>
  </si>
  <si>
    <t>72.214.2</t>
  </si>
  <si>
    <t>Устройство системы Безопасный дом. ГП-72.214</t>
  </si>
  <si>
    <t>Gidrolock Реле 10А дополнительное (на чёрную плату)</t>
  </si>
  <si>
    <t>Наконечник КВТ НШВИ 0,75-8</t>
  </si>
  <si>
    <t>Наконечник КВТ НШВИ2 0,75-8</t>
  </si>
  <si>
    <t>Наконечник медный КВТ луженый ТМЛ 6-6-4 под кабель 6,0мм болт М6</t>
  </si>
  <si>
    <t>Ведомость объемов работ</t>
  </si>
  <si>
    <t>№ п/п</t>
  </si>
  <si>
    <t>ГП-214.1</t>
  </si>
  <si>
    <t>ГП-214.2</t>
  </si>
  <si>
    <t>ИТОГО:</t>
  </si>
  <si>
    <t>проверка:</t>
  </si>
  <si>
    <t>Спецификация материалов</t>
  </si>
  <si>
    <t>Итого по ЛСР, в т.ч. НДС:</t>
  </si>
  <si>
    <t>в тч НДС 22%:</t>
  </si>
  <si>
    <t>ООО "ЭНКО СТРОЙ"</t>
  </si>
  <si>
    <t>ООО "Технический заказчик "ЭНКО"</t>
  </si>
  <si>
    <t>___________/С.И. Ярков</t>
  </si>
  <si>
    <t>Локальный сметный расчет №</t>
  </si>
  <si>
    <r>
      <t xml:space="preserve">Монтажные работы </t>
    </r>
    <r>
      <rPr>
        <b/>
        <sz val="10"/>
        <color theme="1"/>
        <rFont val="Arial Narrow"/>
        <family val="2"/>
        <charset val="204"/>
      </rPr>
      <t>секция 1</t>
    </r>
  </si>
  <si>
    <r>
      <t xml:space="preserve">Монтажные работы </t>
    </r>
    <r>
      <rPr>
        <b/>
        <sz val="10"/>
        <color theme="1"/>
        <rFont val="Arial Narrow"/>
        <family val="2"/>
        <charset val="204"/>
      </rPr>
      <t>секция 2</t>
    </r>
    <r>
      <rPr>
        <sz val="11"/>
        <color theme="1"/>
        <rFont val="Calibri"/>
        <family val="2"/>
        <charset val="204"/>
        <scheme val="minor"/>
      </rPr>
      <t/>
    </r>
  </si>
  <si>
    <r>
      <rPr>
        <b/>
        <sz val="10"/>
        <color theme="1"/>
        <rFont val="Arial Narrow"/>
        <family val="2"/>
        <charset val="204"/>
      </rPr>
      <t>Прочие материалы</t>
    </r>
    <r>
      <rPr>
        <sz val="10"/>
        <color theme="1"/>
        <rFont val="Arial Narrow"/>
        <family val="2"/>
        <charset val="204"/>
      </rPr>
      <t xml:space="preserve"> (Скотчлок соединитель EC-SL-UY2-YL-100, Автоматический выключатель 1P 5А (В) 4,5kA ВА 47-63 EKF PROxima, Монтажная лента текстильная под пистолет, Дюбель-хомут 5-10мм нейлон (100шт. в пч.), Наконечник штырьевой втулочный НШВ 0.75-8 79476 КВТ, Клемма DIY YOU PCT-213, быстрозажимной кабельный соединитель, 3 общих проводника L, Коробка ответвит. с гладкими стенками, IP56, 300х220х120мм, Колодка клеммная пружинная JXB-ST-1.5 17.5А серая EKF PROxima (PLC-JXB-ST-1.5), Колодка клеммная пружинная JXB-ST-2.5 28А 3 вывода серая EKF PROxima (PLC-JXB-ST-2.5-3), Кабельный ввод (сальник) PG 13.5 (IP68) d отверстия 6-12 мм, Din-рейка REXANT 25см, Контактная проводящая паста КПП 100 гр. КВТ)</t>
    </r>
  </si>
  <si>
    <t>Монтажные работы секция 1</t>
  </si>
  <si>
    <t>Монтажные работы секция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</si>
</sst>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i/>
      <u/>
      <sz val="10"/>
      <name val="Arial Narrow"/>
      <family val="2"/>
      <charset val="204"/>
    </font>
    <font>
      <sz val="10"/>
      <name val="Arial Narrow"/>
      <family val="2"/>
      <charset val="204"/>
    </font>
    <font>
      <sz val="10"/>
      <color rgb="FFFF0000"/>
      <name val="Arial Narrow"/>
      <family val="2"/>
      <charset val="204"/>
    </font>
    <font>
      <b/>
      <i/>
      <sz val="10"/>
      <color theme="1"/>
      <name val="Arial Narrow"/>
      <family val="2"/>
      <charset val="204"/>
    </font>
    <font>
      <b/>
      <i/>
      <u/>
      <sz val="10"/>
      <color theme="1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8" fillId="0" borderId="0"/>
    <xf numFmtId="0" fontId="6" fillId="0" borderId="0"/>
    <xf numFmtId="0" fontId="9" fillId="0" borderId="0"/>
    <xf numFmtId="0" fontId="8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10" fillId="0" borderId="0"/>
    <xf numFmtId="0" fontId="2" fillId="0" borderId="0"/>
  </cellStyleXfs>
  <cellXfs count="134">
    <xf numFmtId="0" fontId="0" fillId="0" borderId="0" xfId="0"/>
    <xf numFmtId="0" fontId="11" fillId="0" borderId="0" xfId="9" applyFont="1"/>
    <xf numFmtId="0" fontId="11" fillId="0" borderId="1" xfId="9" applyFont="1" applyBorder="1"/>
    <xf numFmtId="0" fontId="12" fillId="0" borderId="1" xfId="9" applyFont="1" applyBorder="1" applyAlignment="1">
      <alignment horizontal="center" vertical="center" wrapText="1"/>
    </xf>
    <xf numFmtId="164" fontId="13" fillId="0" borderId="1" xfId="9" applyNumberFormat="1" applyFont="1" applyBorder="1" applyAlignment="1">
      <alignment horizontal="center" vertical="center" wrapText="1"/>
    </xf>
    <xf numFmtId="4" fontId="12" fillId="0" borderId="1" xfId="9" applyNumberFormat="1" applyFont="1" applyBorder="1" applyAlignment="1">
      <alignment horizontal="center" vertical="center" wrapText="1"/>
    </xf>
    <xf numFmtId="0" fontId="11" fillId="0" borderId="1" xfId="9" applyFont="1" applyBorder="1" applyAlignment="1">
      <alignment horizontal="center" vertical="center"/>
    </xf>
    <xf numFmtId="4" fontId="11" fillId="0" borderId="1" xfId="9" applyNumberFormat="1" applyFont="1" applyBorder="1" applyAlignment="1">
      <alignment horizontal="center" vertical="center"/>
    </xf>
    <xf numFmtId="0" fontId="11" fillId="0" borderId="1" xfId="9" applyFont="1" applyBorder="1" applyAlignment="1">
      <alignment horizontal="center" wrapText="1"/>
    </xf>
    <xf numFmtId="0" fontId="11" fillId="0" borderId="1" xfId="9" applyFont="1" applyBorder="1" applyAlignment="1">
      <alignment horizontal="left" vertical="center"/>
    </xf>
    <xf numFmtId="0" fontId="11" fillId="0" borderId="0" xfId="9" applyFont="1" applyAlignment="1">
      <alignment horizontal="right"/>
    </xf>
    <xf numFmtId="4" fontId="13" fillId="0" borderId="0" xfId="9" applyNumberFormat="1" applyFont="1" applyAlignment="1">
      <alignment horizontal="center" vertical="center"/>
    </xf>
    <xf numFmtId="4" fontId="11" fillId="0" borderId="0" xfId="9" applyNumberFormat="1" applyFont="1" applyAlignment="1">
      <alignment horizontal="center" vertical="center"/>
    </xf>
    <xf numFmtId="0" fontId="14" fillId="0" borderId="0" xfId="9" applyFont="1" applyAlignment="1">
      <alignment vertical="center" wrapText="1"/>
    </xf>
    <xf numFmtId="0" fontId="11" fillId="0" borderId="0" xfId="9" applyFont="1" applyAlignment="1">
      <alignment wrapText="1"/>
    </xf>
    <xf numFmtId="0" fontId="13" fillId="0" borderId="0" xfId="9" applyFont="1"/>
    <xf numFmtId="4" fontId="11" fillId="0" borderId="0" xfId="9" applyNumberFormat="1" applyFont="1"/>
    <xf numFmtId="4" fontId="11" fillId="0" borderId="0" xfId="9" applyNumberFormat="1" applyFont="1" applyAlignment="1">
      <alignment wrapText="1"/>
    </xf>
    <xf numFmtId="49" fontId="15" fillId="0" borderId="0" xfId="9" applyNumberFormat="1" applyFont="1" applyAlignment="1">
      <alignment horizontal="center" vertical="center"/>
    </xf>
    <xf numFmtId="0" fontId="15" fillId="0" borderId="0" xfId="10" applyFont="1" applyAlignment="1">
      <alignment vertical="center" wrapText="1"/>
    </xf>
    <xf numFmtId="0" fontId="16" fillId="0" borderId="0" xfId="10" applyFont="1" applyAlignment="1">
      <alignment vertical="center" wrapText="1"/>
    </xf>
    <xf numFmtId="0" fontId="15" fillId="0" borderId="0" xfId="9" applyFont="1" applyAlignment="1">
      <alignment horizontal="center" vertical="center"/>
    </xf>
    <xf numFmtId="0" fontId="16" fillId="0" borderId="0" xfId="10" applyFont="1" applyAlignment="1">
      <alignment vertical="top" wrapText="1"/>
    </xf>
    <xf numFmtId="0" fontId="15" fillId="0" borderId="0" xfId="9" applyFont="1" applyAlignment="1">
      <alignment vertical="center"/>
    </xf>
    <xf numFmtId="0" fontId="16" fillId="0" borderId="0" xfId="9" applyFont="1" applyAlignment="1">
      <alignment vertical="top" wrapText="1"/>
    </xf>
    <xf numFmtId="49" fontId="12" fillId="0" borderId="1" xfId="9" applyNumberFormat="1" applyFont="1" applyBorder="1" applyAlignment="1">
      <alignment horizontal="center" vertical="center" wrapText="1"/>
    </xf>
    <xf numFmtId="49" fontId="11" fillId="0" borderId="0" xfId="0" applyNumberFormat="1" applyFont="1"/>
    <xf numFmtId="0" fontId="11" fillId="0" borderId="0" xfId="0" applyFont="1" applyAlignment="1">
      <alignment wrapText="1"/>
    </xf>
    <xf numFmtId="0" fontId="11" fillId="0" borderId="0" xfId="0" applyFont="1" applyAlignment="1">
      <alignment vertical="center"/>
    </xf>
    <xf numFmtId="4" fontId="11" fillId="0" borderId="0" xfId="10" applyNumberFormat="1" applyFont="1"/>
    <xf numFmtId="0" fontId="11" fillId="0" borderId="0" xfId="0" applyFont="1"/>
    <xf numFmtId="4" fontId="13" fillId="0" borderId="0" xfId="10" applyNumberFormat="1" applyFont="1"/>
    <xf numFmtId="164" fontId="13" fillId="0" borderId="0" xfId="0" applyNumberFormat="1" applyFont="1"/>
    <xf numFmtId="164" fontId="11" fillId="0" borderId="0" xfId="0" applyNumberFormat="1" applyFont="1"/>
    <xf numFmtId="0" fontId="11" fillId="0" borderId="0" xfId="10" applyFont="1" applyAlignment="1">
      <alignment horizontal="right"/>
    </xf>
    <xf numFmtId="0" fontId="13" fillId="0" borderId="0" xfId="10" applyFont="1" applyAlignment="1">
      <alignment vertical="center"/>
    </xf>
    <xf numFmtId="0" fontId="13" fillId="0" borderId="0" xfId="10" applyFont="1"/>
    <xf numFmtId="0" fontId="11" fillId="0" borderId="0" xfId="0" applyFont="1" applyAlignment="1">
      <alignment vertical="center" wrapText="1"/>
    </xf>
    <xf numFmtId="4" fontId="13" fillId="0" borderId="0" xfId="0" applyNumberFormat="1" applyFont="1"/>
    <xf numFmtId="49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 vertical="center"/>
    </xf>
    <xf numFmtId="4" fontId="13" fillId="0" borderId="0" xfId="0" applyNumberFormat="1" applyFont="1" applyAlignment="1">
      <alignment horizontal="center"/>
    </xf>
    <xf numFmtId="49" fontId="12" fillId="0" borderId="4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4" fontId="12" fillId="0" borderId="3" xfId="0" applyNumberFormat="1" applyFont="1" applyBorder="1" applyAlignment="1">
      <alignment horizontal="center" vertical="center" wrapText="1"/>
    </xf>
    <xf numFmtId="49" fontId="12" fillId="5" borderId="1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12" fillId="5" borderId="1" xfId="0" applyFont="1" applyFill="1" applyBorder="1" applyAlignment="1">
      <alignment horizontal="center" vertical="center" wrapText="1"/>
    </xf>
    <xf numFmtId="4" fontId="12" fillId="5" borderId="1" xfId="0" applyNumberFormat="1" applyFont="1" applyFill="1" applyBorder="1" applyAlignment="1">
      <alignment horizontal="center" vertical="center" wrapText="1"/>
    </xf>
    <xf numFmtId="17" fontId="12" fillId="2" borderId="5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 wrapText="1"/>
    </xf>
    <xf numFmtId="49" fontId="12" fillId="4" borderId="5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2" fillId="4" borderId="1" xfId="0" applyNumberFormat="1" applyFont="1" applyFill="1" applyBorder="1" applyAlignment="1">
      <alignment horizontal="center" vertical="center" wrapText="1"/>
    </xf>
    <xf numFmtId="4" fontId="12" fillId="4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  <xf numFmtId="164" fontId="12" fillId="3" borderId="1" xfId="0" applyNumberFormat="1" applyFont="1" applyFill="1" applyBorder="1" applyAlignment="1">
      <alignment horizontal="center" vertical="center" wrapText="1"/>
    </xf>
    <xf numFmtId="4" fontId="12" fillId="3" borderId="1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center" vertical="center" wrapText="1"/>
    </xf>
    <xf numFmtId="164" fontId="12" fillId="2" borderId="2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center" vertical="center" wrapText="1"/>
    </xf>
    <xf numFmtId="164" fontId="15" fillId="2" borderId="2" xfId="0" applyNumberFormat="1" applyFont="1" applyFill="1" applyBorder="1" applyAlignment="1">
      <alignment horizontal="center" vertical="center" wrapText="1"/>
    </xf>
    <xf numFmtId="164" fontId="15" fillId="2" borderId="1" xfId="0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/>
    </xf>
    <xf numFmtId="49" fontId="13" fillId="6" borderId="1" xfId="0" applyNumberFormat="1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horizontal="center" vertical="center" wrapText="1"/>
    </xf>
    <xf numFmtId="164" fontId="12" fillId="6" borderId="1" xfId="0" applyNumberFormat="1" applyFont="1" applyFill="1" applyBorder="1" applyAlignment="1">
      <alignment horizontal="center" vertical="center" wrapText="1"/>
    </xf>
    <xf numFmtId="4" fontId="12" fillId="6" borderId="1" xfId="0" applyNumberFormat="1" applyFont="1" applyFill="1" applyBorder="1" applyAlignment="1">
      <alignment horizontal="center" vertical="center" wrapText="1"/>
    </xf>
    <xf numFmtId="0" fontId="11" fillId="6" borderId="0" xfId="0" applyFont="1" applyFill="1"/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4" fontId="13" fillId="6" borderId="1" xfId="0" applyNumberFormat="1" applyFont="1" applyFill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4" fontId="13" fillId="0" borderId="1" xfId="0" applyNumberFormat="1" applyFont="1" applyBorder="1" applyAlignment="1">
      <alignment horizontal="center" vertical="center"/>
    </xf>
    <xf numFmtId="0" fontId="11" fillId="7" borderId="1" xfId="0" applyFont="1" applyFill="1" applyBorder="1" applyAlignment="1">
      <alignment horizontal="left" vertical="center" wrapText="1"/>
    </xf>
    <xf numFmtId="49" fontId="11" fillId="0" borderId="2" xfId="0" applyNumberFormat="1" applyFont="1" applyBorder="1" applyAlignment="1">
      <alignment horizontal="center" vertical="center"/>
    </xf>
    <xf numFmtId="0" fontId="11" fillId="7" borderId="1" xfId="0" applyFont="1" applyFill="1" applyBorder="1" applyAlignment="1">
      <alignment vertical="center"/>
    </xf>
    <xf numFmtId="49" fontId="11" fillId="2" borderId="1" xfId="0" applyNumberFormat="1" applyFont="1" applyFill="1" applyBorder="1"/>
    <xf numFmtId="0" fontId="15" fillId="2" borderId="1" xfId="0" applyFont="1" applyFill="1" applyBorder="1" applyAlignment="1">
      <alignment horizontal="left" vertical="center" wrapText="1"/>
    </xf>
    <xf numFmtId="4" fontId="15" fillId="2" borderId="1" xfId="0" applyNumberFormat="1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49" fontId="17" fillId="2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15" fillId="0" borderId="0" xfId="0" applyFont="1"/>
    <xf numFmtId="49" fontId="11" fillId="0" borderId="0" xfId="0" applyNumberFormat="1" applyFont="1" applyAlignment="1">
      <alignment horizontal="center" vertical="center"/>
    </xf>
    <xf numFmtId="0" fontId="11" fillId="0" borderId="0" xfId="8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4" fontId="11" fillId="0" borderId="0" xfId="0" applyNumberFormat="1" applyFont="1"/>
    <xf numFmtId="4" fontId="15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/>
    <xf numFmtId="4" fontId="12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4" fontId="11" fillId="0" borderId="2" xfId="0" applyNumberFormat="1" applyFont="1" applyBorder="1" applyAlignment="1">
      <alignment horizontal="center" vertical="center"/>
    </xf>
    <xf numFmtId="4" fontId="15" fillId="0" borderId="2" xfId="0" applyNumberFormat="1" applyFont="1" applyBorder="1" applyAlignment="1">
      <alignment horizontal="center" vertical="center" wrapText="1"/>
    </xf>
    <xf numFmtId="4" fontId="12" fillId="2" borderId="2" xfId="0" applyNumberFormat="1" applyFont="1" applyFill="1" applyBorder="1" applyAlignment="1">
      <alignment horizontal="center" vertical="center" wrapText="1"/>
    </xf>
    <xf numFmtId="4" fontId="15" fillId="2" borderId="2" xfId="0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right" vertical="center"/>
    </xf>
    <xf numFmtId="0" fontId="13" fillId="3" borderId="6" xfId="0" applyFont="1" applyFill="1" applyBorder="1" applyAlignment="1">
      <alignment horizontal="right" vertical="center"/>
    </xf>
    <xf numFmtId="0" fontId="13" fillId="3" borderId="7" xfId="0" applyFont="1" applyFill="1" applyBorder="1" applyAlignment="1">
      <alignment horizontal="right" vertical="center"/>
    </xf>
    <xf numFmtId="0" fontId="17" fillId="2" borderId="2" xfId="0" applyFont="1" applyFill="1" applyBorder="1" applyAlignment="1">
      <alignment horizontal="right" vertical="center"/>
    </xf>
    <xf numFmtId="0" fontId="17" fillId="2" borderId="6" xfId="0" applyFont="1" applyFill="1" applyBorder="1" applyAlignment="1">
      <alignment horizontal="right" vertical="center"/>
    </xf>
    <xf numFmtId="0" fontId="17" fillId="2" borderId="7" xfId="0" applyFont="1" applyFill="1" applyBorder="1" applyAlignment="1">
      <alignment horizontal="right" vertical="center"/>
    </xf>
    <xf numFmtId="0" fontId="15" fillId="0" borderId="0" xfId="10" applyFont="1" applyAlignment="1">
      <alignment horizontal="left" vertical="top" wrapText="1"/>
    </xf>
    <xf numFmtId="0" fontId="11" fillId="0" borderId="1" xfId="9" applyFont="1" applyBorder="1" applyAlignment="1">
      <alignment vertical="center" wrapText="1"/>
    </xf>
    <xf numFmtId="0" fontId="11" fillId="0" borderId="1" xfId="9" applyFont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/>
    </xf>
    <xf numFmtId="4" fontId="13" fillId="2" borderId="1" xfId="0" applyNumberFormat="1" applyFont="1" applyFill="1" applyBorder="1" applyAlignment="1" applyProtection="1">
      <alignment horizontal="center" vertical="center"/>
      <protection locked="0"/>
    </xf>
    <xf numFmtId="0" fontId="11" fillId="0" borderId="0" xfId="8" applyFont="1" applyAlignment="1">
      <alignment vertical="center"/>
    </xf>
    <xf numFmtId="0" fontId="11" fillId="0" borderId="0" xfId="8" applyFont="1" applyAlignment="1">
      <alignment horizontal="left" vertical="top" wrapText="1"/>
    </xf>
  </cellXfs>
  <cellStyles count="11">
    <cellStyle name="Обычный" xfId="0" builtinId="0"/>
    <cellStyle name="Обычный 2" xfId="1" xr:uid="{00000000-0005-0000-0000-000001000000}"/>
    <cellStyle name="Обычный 2 2 2" xfId="3" xr:uid="{00000000-0005-0000-0000-000002000000}"/>
    <cellStyle name="Обычный 2 3 2" xfId="4" xr:uid="{00000000-0005-0000-0000-000003000000}"/>
    <cellStyle name="Обычный 3" xfId="2" xr:uid="{00000000-0005-0000-0000-000004000000}"/>
    <cellStyle name="Обычный 3 2 2" xfId="7" xr:uid="{00000000-0005-0000-0000-000005000000}"/>
    <cellStyle name="Обычный 3 2 2 2" xfId="8" xr:uid="{00000000-0005-0000-0000-000006000000}"/>
    <cellStyle name="Обычный 3 2 2 2 2" xfId="10" xr:uid="{977587F9-E52C-44FE-BAB7-EDBD8C7A19AF}"/>
    <cellStyle name="Обычный 4" xfId="6" xr:uid="{00000000-0005-0000-0000-000007000000}"/>
    <cellStyle name="Обычный 5" xfId="9" xr:uid="{213EB870-9E02-46B1-B905-FF1A0E6882F6}"/>
    <cellStyle name="Обычный 6 3 7 2 3" xfId="5" xr:uid="{00000000-0005-0000-0000-000008000000}"/>
  </cellStyles>
  <dxfs count="8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7;&#1074;&#1077;&#1090;&#1083;&#1072;&#1085;&#1072;/AppData/Roaming/Microsoft/Excel/20-10_2017-12-&#1042;&#1050;%20&#1057;&#1087;&#1077;&#1094;&#1080;&#1092;&#1080;&#1082;&#1072;&#1094;&#1080;&#1103;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 1"/>
      <sheetName val="лист 2"/>
      <sheetName val="лист 3"/>
      <sheetName val="лист 7"/>
      <sheetName val="лист 8"/>
      <sheetName val="Тестовый"/>
      <sheetName val="Первый"/>
      <sheetName val="Второй"/>
      <sheetName val="Переменны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9"/>
  <sheetViews>
    <sheetView tabSelected="1" view="pageBreakPreview" topLeftCell="A34" zoomScale="55" zoomScaleNormal="70" zoomScaleSheetLayoutView="55" workbookViewId="0">
      <selection activeCell="B58" sqref="B58:L58"/>
    </sheetView>
  </sheetViews>
  <sheetFormatPr defaultColWidth="9.109375" defaultRowHeight="13.8" outlineLevelRow="1" x14ac:dyDescent="0.3"/>
  <cols>
    <col min="1" max="1" width="13.109375" style="26" customWidth="1"/>
    <col min="2" max="2" width="104.88671875" style="27" customWidth="1"/>
    <col min="3" max="3" width="18.6640625" style="30" customWidth="1"/>
    <col min="4" max="4" width="46" style="27" customWidth="1"/>
    <col min="5" max="5" width="15.88671875" style="30" bestFit="1" customWidth="1"/>
    <col min="6" max="7" width="15.88671875" style="30" customWidth="1"/>
    <col min="8" max="8" width="15.44140625" style="38" bestFit="1" customWidth="1"/>
    <col min="9" max="9" width="17.33203125" style="111" customWidth="1"/>
    <col min="10" max="10" width="28.88671875" style="111" customWidth="1"/>
    <col min="11" max="11" width="30.33203125" style="27" customWidth="1"/>
    <col min="12" max="12" width="31.33203125" style="30" customWidth="1"/>
    <col min="13" max="16384" width="9.109375" style="30"/>
  </cols>
  <sheetData>
    <row r="1" spans="1:12" x14ac:dyDescent="0.3">
      <c r="C1" s="28"/>
      <c r="D1" s="29"/>
      <c r="F1" s="31"/>
      <c r="H1" s="32"/>
      <c r="I1" s="33"/>
      <c r="J1" s="33"/>
      <c r="K1" s="30"/>
      <c r="L1" s="34" t="s">
        <v>19</v>
      </c>
    </row>
    <row r="2" spans="1:12" x14ac:dyDescent="0.3">
      <c r="C2" s="28"/>
      <c r="D2" s="29"/>
      <c r="F2" s="31"/>
      <c r="H2" s="32"/>
      <c r="I2" s="33"/>
      <c r="J2" s="33"/>
      <c r="K2" s="30"/>
      <c r="L2" s="34" t="s">
        <v>20</v>
      </c>
    </row>
    <row r="3" spans="1:12" x14ac:dyDescent="0.3">
      <c r="C3" s="28"/>
      <c r="D3" s="29"/>
      <c r="F3" s="31"/>
      <c r="H3" s="32"/>
      <c r="I3" s="33"/>
      <c r="J3" s="33"/>
      <c r="K3" s="30"/>
    </row>
    <row r="4" spans="1:12" ht="15" customHeight="1" x14ac:dyDescent="0.3">
      <c r="B4" s="35" t="s">
        <v>21</v>
      </c>
      <c r="D4" s="29"/>
      <c r="E4" s="31" t="s">
        <v>22</v>
      </c>
      <c r="F4" s="36"/>
      <c r="H4" s="32"/>
      <c r="I4" s="33"/>
      <c r="J4" s="31" t="s">
        <v>23</v>
      </c>
      <c r="K4" s="32"/>
    </row>
    <row r="5" spans="1:12" ht="19.5" customHeight="1" x14ac:dyDescent="0.3">
      <c r="B5" s="37"/>
      <c r="D5" s="29"/>
      <c r="E5" s="30" t="s">
        <v>82</v>
      </c>
      <c r="H5" s="30"/>
      <c r="I5" s="38"/>
      <c r="J5" s="30" t="s">
        <v>83</v>
      </c>
      <c r="K5" s="32"/>
    </row>
    <row r="6" spans="1:12" ht="15.75" customHeight="1" x14ac:dyDescent="0.3">
      <c r="B6" s="37"/>
      <c r="D6" s="29"/>
      <c r="E6" s="27"/>
      <c r="H6" s="30"/>
      <c r="I6" s="38"/>
      <c r="J6" s="30"/>
      <c r="K6" s="32"/>
    </row>
    <row r="7" spans="1:12" x14ac:dyDescent="0.3">
      <c r="B7" s="37" t="s">
        <v>58</v>
      </c>
      <c r="D7" s="29"/>
      <c r="E7" s="30" t="s">
        <v>84</v>
      </c>
      <c r="H7" s="30"/>
      <c r="I7" s="38"/>
      <c r="J7" s="30" t="s">
        <v>84</v>
      </c>
      <c r="K7" s="32"/>
    </row>
    <row r="8" spans="1:12" x14ac:dyDescent="0.3">
      <c r="B8" s="37"/>
      <c r="D8" s="29"/>
      <c r="H8" s="30"/>
      <c r="I8" s="38"/>
      <c r="J8" s="30"/>
      <c r="K8" s="32"/>
    </row>
    <row r="9" spans="1:12" s="40" customFormat="1" ht="19.5" customHeight="1" x14ac:dyDescent="0.3">
      <c r="A9" s="39"/>
      <c r="D9" s="41"/>
      <c r="E9" s="42" t="s">
        <v>85</v>
      </c>
      <c r="F9" s="43"/>
      <c r="G9" s="43"/>
      <c r="H9" s="43"/>
      <c r="K9" s="41"/>
    </row>
    <row r="10" spans="1:12" s="40" customFormat="1" ht="19.5" customHeight="1" x14ac:dyDescent="0.3">
      <c r="A10" s="39"/>
      <c r="D10" s="41"/>
      <c r="E10" s="42" t="s">
        <v>68</v>
      </c>
      <c r="F10" s="43"/>
      <c r="G10" s="43"/>
      <c r="H10" s="43"/>
      <c r="K10" s="41"/>
    </row>
    <row r="12" spans="1:12" ht="26.25" customHeight="1" x14ac:dyDescent="0.3">
      <c r="A12" s="44" t="s">
        <v>0</v>
      </c>
      <c r="B12" s="45" t="s">
        <v>1</v>
      </c>
      <c r="C12" s="45" t="s">
        <v>16</v>
      </c>
      <c r="D12" s="45" t="s">
        <v>17</v>
      </c>
      <c r="E12" s="45" t="s">
        <v>9</v>
      </c>
      <c r="F12" s="45" t="s">
        <v>66</v>
      </c>
      <c r="G12" s="45" t="s">
        <v>67</v>
      </c>
      <c r="H12" s="46" t="s">
        <v>2</v>
      </c>
      <c r="I12" s="46" t="s">
        <v>6</v>
      </c>
      <c r="J12" s="46" t="s">
        <v>7</v>
      </c>
      <c r="K12" s="46" t="s">
        <v>8</v>
      </c>
      <c r="L12" s="46" t="s">
        <v>24</v>
      </c>
    </row>
    <row r="13" spans="1:12" x14ac:dyDescent="0.3">
      <c r="A13" s="47">
        <v>11</v>
      </c>
      <c r="B13" s="48" t="s">
        <v>10</v>
      </c>
      <c r="C13" s="49"/>
      <c r="D13" s="49"/>
      <c r="E13" s="49"/>
      <c r="F13" s="49"/>
      <c r="G13" s="49"/>
      <c r="H13" s="50"/>
      <c r="I13" s="50"/>
      <c r="J13" s="50"/>
      <c r="K13" s="50"/>
      <c r="L13" s="50"/>
    </row>
    <row r="14" spans="1:12" ht="19.5" customHeight="1" x14ac:dyDescent="0.3">
      <c r="A14" s="51" t="s">
        <v>35</v>
      </c>
      <c r="B14" s="52" t="s">
        <v>36</v>
      </c>
      <c r="C14" s="52"/>
      <c r="D14" s="52"/>
      <c r="E14" s="53"/>
      <c r="F14" s="54"/>
      <c r="G14" s="54"/>
      <c r="H14" s="54"/>
      <c r="I14" s="54"/>
      <c r="J14" s="54"/>
      <c r="K14" s="54"/>
      <c r="L14" s="55"/>
    </row>
    <row r="15" spans="1:12" ht="19.5" customHeight="1" x14ac:dyDescent="0.3">
      <c r="A15" s="56" t="s">
        <v>37</v>
      </c>
      <c r="B15" s="57" t="s">
        <v>13</v>
      </c>
      <c r="C15" s="57"/>
      <c r="D15" s="57"/>
      <c r="E15" s="58"/>
      <c r="F15" s="59"/>
      <c r="G15" s="59"/>
      <c r="H15" s="59"/>
      <c r="I15" s="59"/>
      <c r="J15" s="59"/>
      <c r="K15" s="59"/>
      <c r="L15" s="60"/>
    </row>
    <row r="16" spans="1:12" ht="19.5" customHeight="1" x14ac:dyDescent="0.3">
      <c r="A16" s="61" t="s">
        <v>38</v>
      </c>
      <c r="B16" s="62" t="s">
        <v>13</v>
      </c>
      <c r="C16" s="62"/>
      <c r="D16" s="62"/>
      <c r="E16" s="63"/>
      <c r="F16" s="64"/>
      <c r="G16" s="64"/>
      <c r="H16" s="64"/>
      <c r="I16" s="64"/>
      <c r="J16" s="64">
        <f>J17+J20</f>
        <v>0</v>
      </c>
      <c r="K16" s="64"/>
      <c r="L16" s="65"/>
    </row>
    <row r="17" spans="1:12" x14ac:dyDescent="0.3">
      <c r="A17" s="66"/>
      <c r="B17" s="52" t="s">
        <v>11</v>
      </c>
      <c r="C17" s="67"/>
      <c r="D17" s="67"/>
      <c r="E17" s="68"/>
      <c r="F17" s="69"/>
      <c r="G17" s="69"/>
      <c r="H17" s="54"/>
      <c r="I17" s="54"/>
      <c r="J17" s="54">
        <f>SUM(J18:J19)</f>
        <v>0</v>
      </c>
      <c r="K17" s="54"/>
      <c r="L17" s="55"/>
    </row>
    <row r="18" spans="1:12" ht="20.25" customHeight="1" x14ac:dyDescent="0.3">
      <c r="A18" s="66"/>
      <c r="B18" s="70" t="s">
        <v>86</v>
      </c>
      <c r="C18" s="71"/>
      <c r="D18" s="71"/>
      <c r="E18" s="72" t="s">
        <v>4</v>
      </c>
      <c r="F18" s="73">
        <v>1</v>
      </c>
      <c r="G18" s="73"/>
      <c r="H18" s="54">
        <f>SUM(F18:G18)</f>
        <v>1</v>
      </c>
      <c r="I18" s="74">
        <f>VLOOKUP(B18,СМР!$B$3:$H$6,7,0)</f>
        <v>0</v>
      </c>
      <c r="J18" s="75">
        <f>I18*H18</f>
        <v>0</v>
      </c>
      <c r="K18" s="54"/>
      <c r="L18" s="55"/>
    </row>
    <row r="19" spans="1:12" ht="20.25" customHeight="1" x14ac:dyDescent="0.3">
      <c r="A19" s="66"/>
      <c r="B19" s="70" t="s">
        <v>87</v>
      </c>
      <c r="C19" s="71"/>
      <c r="D19" s="71"/>
      <c r="E19" s="72" t="s">
        <v>4</v>
      </c>
      <c r="F19" s="73"/>
      <c r="G19" s="73">
        <v>1</v>
      </c>
      <c r="H19" s="54">
        <f>SUM(F19:G19)</f>
        <v>1</v>
      </c>
      <c r="I19" s="74">
        <f>VLOOKUP(B19,СМР!$B$3:$H$6,7,0)</f>
        <v>0</v>
      </c>
      <c r="J19" s="75">
        <f t="shared" ref="J19:J43" si="0">I19*H19</f>
        <v>0</v>
      </c>
      <c r="K19" s="54"/>
      <c r="L19" s="55"/>
    </row>
    <row r="20" spans="1:12" s="81" customFormat="1" ht="23.25" customHeight="1" x14ac:dyDescent="0.3">
      <c r="A20" s="76"/>
      <c r="B20" s="77" t="s">
        <v>12</v>
      </c>
      <c r="C20" s="77"/>
      <c r="D20" s="77"/>
      <c r="E20" s="78"/>
      <c r="F20" s="79"/>
      <c r="G20" s="79"/>
      <c r="H20" s="79"/>
      <c r="I20" s="79"/>
      <c r="J20" s="79">
        <f>SUM(J21:J30)</f>
        <v>0</v>
      </c>
      <c r="K20" s="79"/>
      <c r="L20" s="80"/>
    </row>
    <row r="21" spans="1:12" s="28" customFormat="1" ht="35.25" customHeight="1" x14ac:dyDescent="0.3">
      <c r="A21" s="82"/>
      <c r="B21" s="83" t="s">
        <v>25</v>
      </c>
      <c r="C21" s="84" t="s">
        <v>26</v>
      </c>
      <c r="D21" s="85" t="s">
        <v>59</v>
      </c>
      <c r="E21" s="84" t="s">
        <v>3</v>
      </c>
      <c r="F21" s="117">
        <v>88</v>
      </c>
      <c r="G21" s="117">
        <v>156</v>
      </c>
      <c r="H21" s="86">
        <f t="shared" ref="H21:H29" si="1">SUM(F21:G21)</f>
        <v>244</v>
      </c>
      <c r="I21" s="87">
        <f>VLOOKUP($B21,ТМЦ!$B$3:$L$24,8,0)</f>
        <v>0</v>
      </c>
      <c r="J21" s="87">
        <f t="shared" ref="J21" si="2">I21*H21</f>
        <v>0</v>
      </c>
      <c r="K21" s="88"/>
      <c r="L21" s="112">
        <f>VLOOKUP($B21,ТМЦ!$B$3:$L$24,11,0)</f>
        <v>0</v>
      </c>
    </row>
    <row r="22" spans="1:12" s="28" customFormat="1" ht="35.25" customHeight="1" x14ac:dyDescent="0.3">
      <c r="A22" s="82"/>
      <c r="B22" s="83" t="s">
        <v>39</v>
      </c>
      <c r="C22" s="84" t="s">
        <v>26</v>
      </c>
      <c r="D22" s="85" t="s">
        <v>60</v>
      </c>
      <c r="E22" s="84" t="s">
        <v>3</v>
      </c>
      <c r="F22" s="117">
        <f>F21*2</f>
        <v>176</v>
      </c>
      <c r="G22" s="117">
        <f>G21*2</f>
        <v>312</v>
      </c>
      <c r="H22" s="86">
        <f t="shared" si="1"/>
        <v>488</v>
      </c>
      <c r="I22" s="87">
        <f>VLOOKUP($B22,ТМЦ!$B$3:$L$24,8,0)</f>
        <v>0</v>
      </c>
      <c r="J22" s="87">
        <f t="shared" si="0"/>
        <v>0</v>
      </c>
      <c r="K22" s="88"/>
      <c r="L22" s="112">
        <f>VLOOKUP($B22,ТМЦ!$B$3:$L$24,11,0)</f>
        <v>0</v>
      </c>
    </row>
    <row r="23" spans="1:12" s="28" customFormat="1" ht="35.25" customHeight="1" x14ac:dyDescent="0.3">
      <c r="A23" s="82"/>
      <c r="B23" s="83" t="s">
        <v>51</v>
      </c>
      <c r="C23" s="84" t="s">
        <v>26</v>
      </c>
      <c r="D23" s="85" t="s">
        <v>52</v>
      </c>
      <c r="E23" s="84" t="s">
        <v>3</v>
      </c>
      <c r="F23" s="117">
        <f>F21</f>
        <v>88</v>
      </c>
      <c r="G23" s="117">
        <f>G21</f>
        <v>156</v>
      </c>
      <c r="H23" s="86">
        <f t="shared" si="1"/>
        <v>244</v>
      </c>
      <c r="I23" s="87">
        <f>VLOOKUP($B23,ТМЦ!$B$3:$L$24,8,0)</f>
        <v>0</v>
      </c>
      <c r="J23" s="87">
        <f t="shared" si="0"/>
        <v>0</v>
      </c>
      <c r="K23" s="88"/>
      <c r="L23" s="112">
        <f>VLOOKUP($B23,ТМЦ!$B$3:$L$24,11,0)</f>
        <v>0</v>
      </c>
    </row>
    <row r="24" spans="1:12" s="28" customFormat="1" ht="35.25" customHeight="1" x14ac:dyDescent="0.3">
      <c r="A24" s="82"/>
      <c r="B24" s="83" t="s">
        <v>69</v>
      </c>
      <c r="C24" s="84" t="s">
        <v>26</v>
      </c>
      <c r="D24" s="85"/>
      <c r="E24" s="84" t="s">
        <v>3</v>
      </c>
      <c r="F24" s="117">
        <f>F21</f>
        <v>88</v>
      </c>
      <c r="G24" s="117">
        <f>G21</f>
        <v>156</v>
      </c>
      <c r="H24" s="86">
        <f t="shared" ref="H24" si="3">SUM(F24:G24)</f>
        <v>244</v>
      </c>
      <c r="I24" s="87">
        <f>VLOOKUP($B24,ТМЦ!$B$3:$L$24,8,0)</f>
        <v>0</v>
      </c>
      <c r="J24" s="87">
        <f t="shared" ref="J24" si="4">I24*H24</f>
        <v>0</v>
      </c>
      <c r="K24" s="88"/>
      <c r="L24" s="112">
        <f>VLOOKUP($B24,ТМЦ!$B$3:$L$24,11,0)</f>
        <v>0</v>
      </c>
    </row>
    <row r="25" spans="1:12" ht="35.25" customHeight="1" x14ac:dyDescent="0.3">
      <c r="A25" s="90"/>
      <c r="B25" s="91" t="s">
        <v>49</v>
      </c>
      <c r="C25" s="84"/>
      <c r="D25" s="85"/>
      <c r="E25" s="89" t="s">
        <v>3</v>
      </c>
      <c r="F25" s="118">
        <f>F21</f>
        <v>88</v>
      </c>
      <c r="G25" s="118">
        <f>G21</f>
        <v>156</v>
      </c>
      <c r="H25" s="86">
        <f t="shared" si="1"/>
        <v>244</v>
      </c>
      <c r="I25" s="87">
        <f>VLOOKUP($B25,ТМЦ!$B$3:$L$24,8,0)</f>
        <v>0</v>
      </c>
      <c r="J25" s="87">
        <f>I25*H25</f>
        <v>0</v>
      </c>
      <c r="K25" s="88"/>
      <c r="L25" s="112">
        <f>VLOOKUP($B25,ТМЦ!$B$3:$L$24,11,0)</f>
        <v>0</v>
      </c>
    </row>
    <row r="26" spans="1:12" s="28" customFormat="1" ht="24" customHeight="1" x14ac:dyDescent="0.3">
      <c r="A26" s="82"/>
      <c r="B26" s="83" t="s">
        <v>40</v>
      </c>
      <c r="C26" s="84"/>
      <c r="D26" s="85" t="s">
        <v>53</v>
      </c>
      <c r="E26" s="84" t="s">
        <v>50</v>
      </c>
      <c r="F26" s="117">
        <v>616</v>
      </c>
      <c r="G26" s="117">
        <v>1092</v>
      </c>
      <c r="H26" s="86">
        <f t="shared" si="1"/>
        <v>1708</v>
      </c>
      <c r="I26" s="87">
        <f>VLOOKUP($B26,ТМЦ!$B$3:$L$24,8,0)</f>
        <v>0</v>
      </c>
      <c r="J26" s="87">
        <f t="shared" si="0"/>
        <v>0</v>
      </c>
      <c r="K26" s="88"/>
      <c r="L26" s="112">
        <f>VLOOKUP($B26,ТМЦ!$B$3:$L$24,11,0)</f>
        <v>0</v>
      </c>
    </row>
    <row r="27" spans="1:12" s="28" customFormat="1" ht="24" customHeight="1" x14ac:dyDescent="0.3">
      <c r="A27" s="82"/>
      <c r="B27" s="83" t="s">
        <v>62</v>
      </c>
      <c r="C27" s="84"/>
      <c r="D27" s="85" t="s">
        <v>56</v>
      </c>
      <c r="E27" s="84" t="s">
        <v>50</v>
      </c>
      <c r="F27" s="117">
        <v>1903</v>
      </c>
      <c r="G27" s="117">
        <v>3854</v>
      </c>
      <c r="H27" s="86">
        <f t="shared" si="1"/>
        <v>5757</v>
      </c>
      <c r="I27" s="87">
        <f>VLOOKUP($B27,ТМЦ!$B$3:$L$24,8,0)</f>
        <v>0</v>
      </c>
      <c r="J27" s="87">
        <f>I27*H27</f>
        <v>0</v>
      </c>
      <c r="K27" s="88"/>
      <c r="L27" s="112">
        <f>VLOOKUP($B27,ТМЦ!$B$3:$L$24,11,0)</f>
        <v>0</v>
      </c>
    </row>
    <row r="28" spans="1:12" s="28" customFormat="1" ht="24" customHeight="1" x14ac:dyDescent="0.3">
      <c r="A28" s="82"/>
      <c r="B28" s="83" t="s">
        <v>63</v>
      </c>
      <c r="C28" s="84"/>
      <c r="D28" s="85" t="s">
        <v>64</v>
      </c>
      <c r="E28" s="84" t="s">
        <v>50</v>
      </c>
      <c r="F28" s="117">
        <v>187</v>
      </c>
      <c r="G28" s="117">
        <v>500</v>
      </c>
      <c r="H28" s="86">
        <f t="shared" si="1"/>
        <v>687</v>
      </c>
      <c r="I28" s="87">
        <f>VLOOKUP($B28,ТМЦ!$B$3:$L$24,8,0)</f>
        <v>0</v>
      </c>
      <c r="J28" s="87">
        <f>I28*H28</f>
        <v>0</v>
      </c>
      <c r="K28" s="88"/>
      <c r="L28" s="112">
        <f>VLOOKUP($B28,ТМЦ!$B$3:$L$24,11,0)</f>
        <v>0</v>
      </c>
    </row>
    <row r="29" spans="1:12" s="28" customFormat="1" ht="37.5" customHeight="1" x14ac:dyDescent="0.3">
      <c r="A29" s="82"/>
      <c r="B29" s="83" t="s">
        <v>54</v>
      </c>
      <c r="C29" s="84"/>
      <c r="D29" s="85" t="s">
        <v>55</v>
      </c>
      <c r="E29" s="84" t="s">
        <v>50</v>
      </c>
      <c r="F29" s="117">
        <v>1980</v>
      </c>
      <c r="G29" s="117">
        <v>3822</v>
      </c>
      <c r="H29" s="86">
        <f t="shared" si="1"/>
        <v>5802</v>
      </c>
      <c r="I29" s="87">
        <f>VLOOKUP($B29,ТМЦ!$B$3:$L$24,8,0)</f>
        <v>0</v>
      </c>
      <c r="J29" s="87">
        <f t="shared" si="0"/>
        <v>0</v>
      </c>
      <c r="K29" s="88"/>
      <c r="L29" s="112">
        <f>VLOOKUP($B29,ТМЦ!$B$3:$L$24,11,0)</f>
        <v>0</v>
      </c>
    </row>
    <row r="30" spans="1:12" s="28" customFormat="1" ht="137.25" customHeight="1" x14ac:dyDescent="0.3">
      <c r="A30" s="82"/>
      <c r="B30" s="83" t="s">
        <v>88</v>
      </c>
      <c r="C30" s="84"/>
      <c r="D30" s="85"/>
      <c r="E30" s="84" t="s">
        <v>57</v>
      </c>
      <c r="F30" s="117"/>
      <c r="G30" s="117"/>
      <c r="H30" s="86" t="e">
        <f>J30/J17</f>
        <v>#DIV/0!</v>
      </c>
      <c r="I30" s="87"/>
      <c r="J30" s="92">
        <f>SUM(J31:J43)</f>
        <v>0</v>
      </c>
      <c r="K30" s="88"/>
      <c r="L30" s="112"/>
    </row>
    <row r="31" spans="1:12" s="28" customFormat="1" ht="22.5" customHeight="1" outlineLevel="1" x14ac:dyDescent="0.3">
      <c r="A31" s="82"/>
      <c r="B31" s="93" t="s">
        <v>65</v>
      </c>
      <c r="C31" s="84"/>
      <c r="D31" s="85"/>
      <c r="E31" s="84" t="s">
        <v>3</v>
      </c>
      <c r="F31" s="117">
        <f>F21</f>
        <v>88</v>
      </c>
      <c r="G31" s="117">
        <f>G21</f>
        <v>156</v>
      </c>
      <c r="H31" s="86">
        <f t="shared" ref="H31:H43" si="5">SUM(F31:G31)</f>
        <v>244</v>
      </c>
      <c r="I31" s="87">
        <f>VLOOKUP($B31,ТМЦ!$B$3:$L$24,8,0)</f>
        <v>0</v>
      </c>
      <c r="J31" s="87">
        <f>I31*H31</f>
        <v>0</v>
      </c>
      <c r="K31" s="88"/>
      <c r="L31" s="112">
        <f>VLOOKUP($B31,ТМЦ!$B$3:$L$24,11,0)</f>
        <v>0</v>
      </c>
    </row>
    <row r="32" spans="1:12" s="28" customFormat="1" ht="22.5" customHeight="1" outlineLevel="1" x14ac:dyDescent="0.3">
      <c r="A32" s="82"/>
      <c r="B32" s="93" t="s">
        <v>41</v>
      </c>
      <c r="C32" s="84"/>
      <c r="D32" s="85"/>
      <c r="E32" s="84" t="s">
        <v>3</v>
      </c>
      <c r="F32" s="117">
        <v>352</v>
      </c>
      <c r="G32" s="117">
        <v>624</v>
      </c>
      <c r="H32" s="86">
        <f t="shared" si="5"/>
        <v>976</v>
      </c>
      <c r="I32" s="87">
        <f>VLOOKUP($B32,ТМЦ!$B$3:$L$24,8,0)</f>
        <v>0</v>
      </c>
      <c r="J32" s="87">
        <f>I32*H32</f>
        <v>0</v>
      </c>
      <c r="K32" s="88"/>
      <c r="L32" s="112">
        <f>VLOOKUP($B32,ТМЦ!$B$3:$L$24,11,0)</f>
        <v>0</v>
      </c>
    </row>
    <row r="33" spans="1:12" s="28" customFormat="1" ht="22.5" customHeight="1" outlineLevel="1" x14ac:dyDescent="0.3">
      <c r="A33" s="82"/>
      <c r="B33" s="93" t="s">
        <v>42</v>
      </c>
      <c r="C33" s="84"/>
      <c r="D33" s="85"/>
      <c r="E33" s="84" t="s">
        <v>50</v>
      </c>
      <c r="F33" s="117">
        <v>432</v>
      </c>
      <c r="G33" s="117">
        <v>846</v>
      </c>
      <c r="H33" s="86">
        <f t="shared" si="5"/>
        <v>1278</v>
      </c>
      <c r="I33" s="87">
        <f>VLOOKUP($B33,ТМЦ!$B$3:$L$24,8,0)</f>
        <v>0</v>
      </c>
      <c r="J33" s="87">
        <f t="shared" si="0"/>
        <v>0</v>
      </c>
      <c r="K33" s="88"/>
      <c r="L33" s="112">
        <f>VLOOKUP($B33,ТМЦ!$B$3:$L$24,11,0)</f>
        <v>0</v>
      </c>
    </row>
    <row r="34" spans="1:12" s="28" customFormat="1" ht="22.5" customHeight="1" outlineLevel="1" x14ac:dyDescent="0.3">
      <c r="A34" s="82"/>
      <c r="B34" s="93" t="s">
        <v>43</v>
      </c>
      <c r="C34" s="84"/>
      <c r="D34" s="85"/>
      <c r="E34" s="84" t="s">
        <v>3</v>
      </c>
      <c r="F34" s="117">
        <v>2200</v>
      </c>
      <c r="G34" s="117">
        <v>3900</v>
      </c>
      <c r="H34" s="86">
        <f t="shared" si="5"/>
        <v>6100</v>
      </c>
      <c r="I34" s="87">
        <f>VLOOKUP($B34,ТМЦ!$B$3:$L$24,8,0)</f>
        <v>0</v>
      </c>
      <c r="J34" s="87">
        <f t="shared" si="0"/>
        <v>0</v>
      </c>
      <c r="K34" s="88"/>
      <c r="L34" s="112">
        <f>VLOOKUP($B34,ТМЦ!$B$3:$L$24,11,0)</f>
        <v>0</v>
      </c>
    </row>
    <row r="35" spans="1:12" s="28" customFormat="1" ht="22.5" customHeight="1" outlineLevel="1" x14ac:dyDescent="0.3">
      <c r="A35" s="82"/>
      <c r="B35" s="93" t="s">
        <v>70</v>
      </c>
      <c r="C35" s="84"/>
      <c r="D35" s="85"/>
      <c r="E35" s="84" t="s">
        <v>3</v>
      </c>
      <c r="F35" s="117">
        <v>528</v>
      </c>
      <c r="G35" s="117">
        <v>936</v>
      </c>
      <c r="H35" s="86">
        <f t="shared" si="5"/>
        <v>1464</v>
      </c>
      <c r="I35" s="87">
        <f>VLOOKUP($B35,ТМЦ!$B$3:$L$24,8,0)</f>
        <v>0</v>
      </c>
      <c r="J35" s="87">
        <f t="shared" si="0"/>
        <v>0</v>
      </c>
      <c r="K35" s="88"/>
      <c r="L35" s="112">
        <f>VLOOKUP($B35,ТМЦ!$B$3:$L$24,11,0)</f>
        <v>0</v>
      </c>
    </row>
    <row r="36" spans="1:12" s="28" customFormat="1" ht="22.5" customHeight="1" outlineLevel="1" x14ac:dyDescent="0.3">
      <c r="A36" s="82"/>
      <c r="B36" s="93" t="s">
        <v>71</v>
      </c>
      <c r="C36" s="84"/>
      <c r="D36" s="85"/>
      <c r="E36" s="84" t="s">
        <v>3</v>
      </c>
      <c r="F36" s="117">
        <v>88</v>
      </c>
      <c r="G36" s="117">
        <v>156</v>
      </c>
      <c r="H36" s="86">
        <f t="shared" ref="H36" si="6">SUM(F36:G36)</f>
        <v>244</v>
      </c>
      <c r="I36" s="87">
        <f>VLOOKUP($B36,ТМЦ!$B$3:$L$24,8,0)</f>
        <v>0</v>
      </c>
      <c r="J36" s="87">
        <f t="shared" ref="J36" si="7">I36*H36</f>
        <v>0</v>
      </c>
      <c r="K36" s="88"/>
      <c r="L36" s="112">
        <f>VLOOKUP($B36,ТМЦ!$B$3:$L$24,11,0)</f>
        <v>0</v>
      </c>
    </row>
    <row r="37" spans="1:12" s="28" customFormat="1" ht="22.5" customHeight="1" outlineLevel="1" x14ac:dyDescent="0.3">
      <c r="A37" s="82"/>
      <c r="B37" s="93" t="s">
        <v>72</v>
      </c>
      <c r="C37" s="84"/>
      <c r="D37" s="85"/>
      <c r="E37" s="84" t="s">
        <v>3</v>
      </c>
      <c r="F37" s="117">
        <v>22</v>
      </c>
      <c r="G37" s="117">
        <v>40</v>
      </c>
      <c r="H37" s="86">
        <f t="shared" si="5"/>
        <v>62</v>
      </c>
      <c r="I37" s="87">
        <f>VLOOKUP($B37,ТМЦ!$B$3:$L$24,8,0)</f>
        <v>0</v>
      </c>
      <c r="J37" s="87">
        <f t="shared" ref="J37" si="8">I37*H37</f>
        <v>0</v>
      </c>
      <c r="K37" s="88"/>
      <c r="L37" s="112">
        <f>VLOOKUP($B37,ТМЦ!$B$3:$L$24,11,0)</f>
        <v>0</v>
      </c>
    </row>
    <row r="38" spans="1:12" s="28" customFormat="1" ht="22.5" customHeight="1" outlineLevel="1" x14ac:dyDescent="0.3">
      <c r="A38" s="82"/>
      <c r="B38" s="93" t="s">
        <v>61</v>
      </c>
      <c r="C38" s="84"/>
      <c r="D38" s="85"/>
      <c r="E38" s="84" t="s">
        <v>3</v>
      </c>
      <c r="F38" s="117">
        <v>11</v>
      </c>
      <c r="G38" s="117">
        <v>20</v>
      </c>
      <c r="H38" s="86">
        <f t="shared" si="5"/>
        <v>31</v>
      </c>
      <c r="I38" s="87">
        <f>VLOOKUP($B38,ТМЦ!$B$3:$L$24,8,0)</f>
        <v>0</v>
      </c>
      <c r="J38" s="87">
        <f t="shared" si="0"/>
        <v>0</v>
      </c>
      <c r="K38" s="88"/>
      <c r="L38" s="112">
        <f>VLOOKUP($B38,ТМЦ!$B$3:$L$24,11,0)</f>
        <v>0</v>
      </c>
    </row>
    <row r="39" spans="1:12" s="28" customFormat="1" ht="22.5" customHeight="1" outlineLevel="1" x14ac:dyDescent="0.3">
      <c r="A39" s="82"/>
      <c r="B39" s="93" t="s">
        <v>44</v>
      </c>
      <c r="C39" s="84"/>
      <c r="D39" s="85"/>
      <c r="E39" s="84" t="s">
        <v>3</v>
      </c>
      <c r="F39" s="117">
        <v>11</v>
      </c>
      <c r="G39" s="117">
        <v>20</v>
      </c>
      <c r="H39" s="86">
        <f t="shared" si="5"/>
        <v>31</v>
      </c>
      <c r="I39" s="87">
        <f>VLOOKUP($B39,ТМЦ!$B$3:$L$24,8,0)</f>
        <v>0</v>
      </c>
      <c r="J39" s="87">
        <f t="shared" si="0"/>
        <v>0</v>
      </c>
      <c r="K39" s="88"/>
      <c r="L39" s="112">
        <f>VLOOKUP($B39,ТМЦ!$B$3:$L$24,11,0)</f>
        <v>0</v>
      </c>
    </row>
    <row r="40" spans="1:12" s="28" customFormat="1" ht="22.5" customHeight="1" outlineLevel="1" x14ac:dyDescent="0.3">
      <c r="A40" s="94"/>
      <c r="B40" s="93" t="s">
        <v>45</v>
      </c>
      <c r="C40" s="84"/>
      <c r="D40" s="85"/>
      <c r="E40" s="84" t="s">
        <v>3</v>
      </c>
      <c r="F40" s="117">
        <v>264</v>
      </c>
      <c r="G40" s="117">
        <v>468</v>
      </c>
      <c r="H40" s="86">
        <f t="shared" si="5"/>
        <v>732</v>
      </c>
      <c r="I40" s="87">
        <f>VLOOKUP($B40,ТМЦ!$B$3:$L$24,8,0)</f>
        <v>0</v>
      </c>
      <c r="J40" s="87">
        <f t="shared" si="0"/>
        <v>0</v>
      </c>
      <c r="K40" s="88"/>
      <c r="L40" s="112">
        <f>VLOOKUP($B40,ТМЦ!$B$3:$L$24,11,0)</f>
        <v>0</v>
      </c>
    </row>
    <row r="41" spans="1:12" ht="22.5" customHeight="1" outlineLevel="1" x14ac:dyDescent="0.3">
      <c r="A41" s="90"/>
      <c r="B41" s="95" t="s">
        <v>46</v>
      </c>
      <c r="C41" s="84"/>
      <c r="D41" s="85"/>
      <c r="E41" s="89" t="s">
        <v>3</v>
      </c>
      <c r="F41" s="118">
        <v>275</v>
      </c>
      <c r="G41" s="118">
        <v>488</v>
      </c>
      <c r="H41" s="86">
        <f t="shared" si="5"/>
        <v>763</v>
      </c>
      <c r="I41" s="87">
        <f>VLOOKUP($B41,ТМЦ!$B$3:$L$24,8,0)</f>
        <v>0</v>
      </c>
      <c r="J41" s="87">
        <f t="shared" si="0"/>
        <v>0</v>
      </c>
      <c r="K41" s="88"/>
      <c r="L41" s="112">
        <f>VLOOKUP($B41,ТМЦ!$B$3:$L$24,11,0)</f>
        <v>0</v>
      </c>
    </row>
    <row r="42" spans="1:12" ht="22.5" customHeight="1" outlineLevel="1" x14ac:dyDescent="0.3">
      <c r="A42" s="90"/>
      <c r="B42" s="95" t="s">
        <v>47</v>
      </c>
      <c r="C42" s="84"/>
      <c r="D42" s="85"/>
      <c r="E42" s="89" t="s">
        <v>3</v>
      </c>
      <c r="F42" s="117">
        <v>22</v>
      </c>
      <c r="G42" s="117">
        <v>40</v>
      </c>
      <c r="H42" s="86">
        <f t="shared" si="5"/>
        <v>62</v>
      </c>
      <c r="I42" s="87">
        <f>VLOOKUP($B42,ТМЦ!$B$3:$L$24,8,0)</f>
        <v>0</v>
      </c>
      <c r="J42" s="87">
        <f t="shared" si="0"/>
        <v>0</v>
      </c>
      <c r="K42" s="88"/>
      <c r="L42" s="112">
        <f>VLOOKUP($B42,ТМЦ!$B$3:$L$24,11,0)</f>
        <v>0</v>
      </c>
    </row>
    <row r="43" spans="1:12" ht="24.75" customHeight="1" outlineLevel="1" x14ac:dyDescent="0.3">
      <c r="A43" s="90"/>
      <c r="B43" s="95" t="s">
        <v>48</v>
      </c>
      <c r="C43" s="84"/>
      <c r="D43" s="85"/>
      <c r="E43" s="89" t="s">
        <v>3</v>
      </c>
      <c r="F43" s="118">
        <v>1</v>
      </c>
      <c r="G43" s="118">
        <v>1</v>
      </c>
      <c r="H43" s="86">
        <f t="shared" si="5"/>
        <v>2</v>
      </c>
      <c r="I43" s="87">
        <f>VLOOKUP($B43,ТМЦ!$B$3:$L$24,8,0)</f>
        <v>0</v>
      </c>
      <c r="J43" s="87">
        <f t="shared" si="0"/>
        <v>0</v>
      </c>
      <c r="K43" s="88"/>
      <c r="L43" s="112">
        <f>VLOOKUP($B43,ТМЦ!$B$3:$L$24,11,0)</f>
        <v>0</v>
      </c>
    </row>
    <row r="44" spans="1:12" ht="21" customHeight="1" x14ac:dyDescent="0.3">
      <c r="A44" s="56" t="s">
        <v>27</v>
      </c>
      <c r="B44" s="57" t="s">
        <v>5</v>
      </c>
      <c r="C44" s="58"/>
      <c r="D44" s="58"/>
      <c r="E44" s="58"/>
      <c r="F44" s="60"/>
      <c r="G44" s="60"/>
      <c r="H44" s="60"/>
      <c r="I44" s="60"/>
      <c r="J44" s="60"/>
      <c r="K44" s="60"/>
      <c r="L44" s="60"/>
    </row>
    <row r="45" spans="1:12" ht="21" customHeight="1" x14ac:dyDescent="0.3">
      <c r="A45" s="61" t="s">
        <v>28</v>
      </c>
      <c r="B45" s="62" t="s">
        <v>5</v>
      </c>
      <c r="C45" s="63"/>
      <c r="D45" s="63"/>
      <c r="E45" s="63"/>
      <c r="F45" s="65"/>
      <c r="G45" s="65"/>
      <c r="H45" s="65"/>
      <c r="I45" s="65"/>
      <c r="J45" s="65">
        <f>J46</f>
        <v>0</v>
      </c>
      <c r="K45" s="65"/>
      <c r="L45" s="65"/>
    </row>
    <row r="46" spans="1:12" ht="21" customHeight="1" x14ac:dyDescent="0.3">
      <c r="A46" s="96"/>
      <c r="B46" s="52" t="s">
        <v>11</v>
      </c>
      <c r="C46" s="68"/>
      <c r="D46" s="68"/>
      <c r="E46" s="68"/>
      <c r="F46" s="119"/>
      <c r="G46" s="119"/>
      <c r="H46" s="55"/>
      <c r="I46" s="55"/>
      <c r="J46" s="55">
        <f>SUM(J47:J48)</f>
        <v>0</v>
      </c>
      <c r="K46" s="55"/>
      <c r="L46" s="55"/>
    </row>
    <row r="47" spans="1:12" ht="21" customHeight="1" x14ac:dyDescent="0.3">
      <c r="A47" s="96"/>
      <c r="B47" s="97" t="s">
        <v>29</v>
      </c>
      <c r="C47" s="72"/>
      <c r="D47" s="72"/>
      <c r="E47" s="72" t="s">
        <v>4</v>
      </c>
      <c r="F47" s="120">
        <v>1</v>
      </c>
      <c r="G47" s="120"/>
      <c r="H47" s="55">
        <f>SUM(F47:G47)</f>
        <v>1</v>
      </c>
      <c r="I47" s="74">
        <f>VLOOKUP(B47,СМР!$B$3:$H$6,7,0)</f>
        <v>0</v>
      </c>
      <c r="J47" s="99">
        <f t="shared" ref="J47" si="9">I47*H47</f>
        <v>0</v>
      </c>
      <c r="K47" s="98"/>
      <c r="L47" s="55"/>
    </row>
    <row r="48" spans="1:12" ht="21" customHeight="1" x14ac:dyDescent="0.3">
      <c r="A48" s="96"/>
      <c r="B48" s="97" t="s">
        <v>30</v>
      </c>
      <c r="C48" s="72"/>
      <c r="D48" s="72"/>
      <c r="E48" s="72" t="s">
        <v>4</v>
      </c>
      <c r="F48" s="120"/>
      <c r="G48" s="120">
        <v>1</v>
      </c>
      <c r="H48" s="55">
        <f>SUM(F48:G48)</f>
        <v>1</v>
      </c>
      <c r="I48" s="74">
        <f>VLOOKUP(B48,СМР!$B$3:$H$6,7,0)</f>
        <v>0</v>
      </c>
      <c r="J48" s="99">
        <f t="shared" ref="J48" si="10">I48*H48</f>
        <v>0</v>
      </c>
      <c r="K48" s="98"/>
      <c r="L48" s="55"/>
    </row>
    <row r="49" spans="1:15" ht="21" customHeight="1" x14ac:dyDescent="0.3">
      <c r="A49" s="113"/>
      <c r="B49" s="77" t="s">
        <v>12</v>
      </c>
      <c r="C49" s="115"/>
      <c r="D49" s="115"/>
      <c r="E49" s="115"/>
      <c r="F49" s="115"/>
      <c r="G49" s="115"/>
      <c r="H49" s="114"/>
      <c r="I49" s="112"/>
      <c r="J49" s="87"/>
      <c r="K49" s="112"/>
      <c r="L49" s="114"/>
    </row>
    <row r="50" spans="1:15" ht="21" customHeight="1" x14ac:dyDescent="0.3">
      <c r="A50" s="113"/>
      <c r="B50" s="116" t="s">
        <v>18</v>
      </c>
      <c r="C50" s="115"/>
      <c r="D50" s="115"/>
      <c r="E50" s="115"/>
      <c r="F50" s="115"/>
      <c r="G50" s="115"/>
      <c r="H50" s="114"/>
      <c r="I50" s="112"/>
      <c r="J50" s="87"/>
      <c r="K50" s="112"/>
      <c r="L50" s="114"/>
    </row>
    <row r="51" spans="1:15" x14ac:dyDescent="0.3">
      <c r="A51" s="61"/>
      <c r="B51" s="121" t="s">
        <v>80</v>
      </c>
      <c r="C51" s="122"/>
      <c r="D51" s="122"/>
      <c r="E51" s="122"/>
      <c r="F51" s="122"/>
      <c r="G51" s="122"/>
      <c r="H51" s="122"/>
      <c r="I51" s="123"/>
      <c r="J51" s="100">
        <f>J16+J45</f>
        <v>0</v>
      </c>
      <c r="K51" s="101"/>
      <c r="L51" s="102"/>
    </row>
    <row r="52" spans="1:15" x14ac:dyDescent="0.3">
      <c r="A52" s="103"/>
      <c r="B52" s="124" t="s">
        <v>14</v>
      </c>
      <c r="C52" s="125"/>
      <c r="D52" s="125"/>
      <c r="E52" s="125"/>
      <c r="F52" s="125"/>
      <c r="G52" s="125"/>
      <c r="H52" s="125"/>
      <c r="I52" s="126"/>
      <c r="J52" s="130">
        <f>SUMIF($B$13:$B$50,"Работа:",J$13:J$50)</f>
        <v>0</v>
      </c>
      <c r="K52" s="104"/>
      <c r="L52" s="105"/>
    </row>
    <row r="53" spans="1:15" x14ac:dyDescent="0.3">
      <c r="A53" s="103"/>
      <c r="B53" s="124" t="s">
        <v>15</v>
      </c>
      <c r="C53" s="125"/>
      <c r="D53" s="125"/>
      <c r="E53" s="125"/>
      <c r="F53" s="125"/>
      <c r="G53" s="125"/>
      <c r="H53" s="125"/>
      <c r="I53" s="126"/>
      <c r="J53" s="130">
        <f>SUMIF($B$13:$B$50,"Материалы:",J$13:J$50)</f>
        <v>0</v>
      </c>
      <c r="K53" s="104"/>
      <c r="L53" s="105"/>
    </row>
    <row r="54" spans="1:15" x14ac:dyDescent="0.3">
      <c r="A54" s="103"/>
      <c r="B54" s="124" t="s">
        <v>81</v>
      </c>
      <c r="C54" s="125"/>
      <c r="D54" s="125"/>
      <c r="E54" s="125"/>
      <c r="F54" s="125"/>
      <c r="G54" s="125"/>
      <c r="H54" s="125"/>
      <c r="I54" s="126"/>
      <c r="J54" s="131">
        <f>J51*22/122</f>
        <v>0</v>
      </c>
      <c r="K54" s="104"/>
      <c r="L54" s="104"/>
    </row>
    <row r="55" spans="1:15" x14ac:dyDescent="0.3">
      <c r="D55" s="30"/>
      <c r="F55" s="33"/>
      <c r="G55" s="33"/>
      <c r="H55" s="33"/>
      <c r="I55" s="33"/>
      <c r="J55" s="33"/>
      <c r="K55" s="32"/>
      <c r="L55" s="33"/>
      <c r="M55" s="33"/>
    </row>
    <row r="56" spans="1:15" s="107" customFormat="1" x14ac:dyDescent="0.3">
      <c r="A56" s="30"/>
      <c r="B56" s="106" t="s">
        <v>31</v>
      </c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 s="107" customFormat="1" ht="29.25" customHeight="1" x14ac:dyDescent="0.3">
      <c r="A57" s="108" t="s">
        <v>18</v>
      </c>
      <c r="B57" s="132" t="s">
        <v>32</v>
      </c>
      <c r="C57" s="109"/>
      <c r="D57" s="109"/>
      <c r="E57" s="109"/>
      <c r="F57" s="109"/>
      <c r="G57" s="109"/>
      <c r="H57" s="109"/>
      <c r="I57" s="109"/>
      <c r="J57" s="109"/>
      <c r="K57" s="109"/>
      <c r="L57" s="109"/>
      <c r="M57" s="109"/>
      <c r="N57" s="109"/>
      <c r="O57" s="109"/>
    </row>
    <row r="58" spans="1:15" s="107" customFormat="1" ht="45.75" customHeight="1" x14ac:dyDescent="0.3">
      <c r="A58" s="110" t="s">
        <v>18</v>
      </c>
      <c r="B58" s="133" t="s">
        <v>33</v>
      </c>
      <c r="C58" s="133"/>
      <c r="D58" s="133"/>
      <c r="E58" s="133"/>
      <c r="F58" s="133"/>
      <c r="G58" s="133"/>
      <c r="H58" s="133"/>
      <c r="I58" s="133"/>
      <c r="J58" s="133"/>
      <c r="K58" s="133"/>
      <c r="L58" s="133"/>
      <c r="M58" s="109"/>
      <c r="N58" s="109"/>
      <c r="O58" s="109"/>
    </row>
    <row r="59" spans="1:15" s="107" customFormat="1" ht="28.5" customHeight="1" x14ac:dyDescent="0.3">
      <c r="A59" s="108" t="s">
        <v>18</v>
      </c>
      <c r="B59" s="37" t="s">
        <v>34</v>
      </c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</row>
  </sheetData>
  <autoFilter ref="A12:L54" xr:uid="{00000000-0001-0000-0000-000000000000}"/>
  <sortState xmlns:xlrd2="http://schemas.microsoft.com/office/spreadsheetml/2017/richdata2" ref="B40:K43">
    <sortCondition ref="B40:B43"/>
  </sortState>
  <mergeCells count="5">
    <mergeCell ref="B51:I51"/>
    <mergeCell ref="B52:I52"/>
    <mergeCell ref="B53:I53"/>
    <mergeCell ref="B54:I54"/>
    <mergeCell ref="B58:L58"/>
  </mergeCells>
  <phoneticPr fontId="7" type="noConversion"/>
  <conditionalFormatting sqref="B31">
    <cfRule type="duplicateValues" dxfId="7" priority="3"/>
  </conditionalFormatting>
  <conditionalFormatting sqref="B32:B40 B26:B30 B21:B24">
    <cfRule type="duplicateValues" dxfId="6" priority="109"/>
  </conditionalFormatting>
  <conditionalFormatting sqref="B41:B43 B25">
    <cfRule type="duplicateValues" dxfId="5" priority="93"/>
  </conditionalFormatting>
  <conditionalFormatting sqref="D31">
    <cfRule type="duplicateValues" dxfId="4" priority="4"/>
  </conditionalFormatting>
  <conditionalFormatting sqref="D32:D43 D21:D30">
    <cfRule type="duplicateValues" dxfId="3" priority="113"/>
  </conditionalFormatting>
  <conditionalFormatting sqref="L21:L43">
    <cfRule type="cellIs" dxfId="2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2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18823-600F-469A-9591-83C077BB8CF9}">
  <dimension ref="A1:M13"/>
  <sheetViews>
    <sheetView workbookViewId="0">
      <pane xSplit="10" ySplit="2" topLeftCell="K3" activePane="bottomRight" state="frozen"/>
      <selection activeCell="E3" sqref="E3"/>
      <selection pane="topRight" activeCell="E3" sqref="E3"/>
      <selection pane="bottomLeft" activeCell="E3" sqref="E3"/>
      <selection pane="bottomRight" activeCell="H3" sqref="H3:H6"/>
    </sheetView>
  </sheetViews>
  <sheetFormatPr defaultRowHeight="13.8" x14ac:dyDescent="0.3"/>
  <cols>
    <col min="1" max="1" width="7.44140625" style="1" customWidth="1"/>
    <col min="2" max="2" width="26.21875" style="1" customWidth="1"/>
    <col min="3" max="3" width="30.5546875" style="1" customWidth="1"/>
    <col min="4" max="8" width="8.88671875" style="1"/>
    <col min="9" max="9" width="15" style="1" customWidth="1"/>
    <col min="10" max="10" width="17.44140625" style="1" customWidth="1"/>
    <col min="11" max="16384" width="8.88671875" style="1"/>
  </cols>
  <sheetData>
    <row r="1" spans="1:13" x14ac:dyDescent="0.3">
      <c r="A1" s="1" t="s">
        <v>73</v>
      </c>
    </row>
    <row r="2" spans="1:13" x14ac:dyDescent="0.3">
      <c r="A2" s="2" t="s">
        <v>74</v>
      </c>
      <c r="B2" s="3" t="s">
        <v>1</v>
      </c>
      <c r="C2" s="3" t="s">
        <v>17</v>
      </c>
      <c r="D2" s="3" t="s">
        <v>9</v>
      </c>
      <c r="E2" s="3" t="s">
        <v>75</v>
      </c>
      <c r="F2" s="3" t="s">
        <v>76</v>
      </c>
      <c r="G2" s="4" t="s">
        <v>2</v>
      </c>
      <c r="H2" s="5" t="s">
        <v>6</v>
      </c>
      <c r="I2" s="5" t="s">
        <v>7</v>
      </c>
      <c r="J2" s="5" t="s">
        <v>8</v>
      </c>
    </row>
    <row r="3" spans="1:13" x14ac:dyDescent="0.3">
      <c r="A3" s="6">
        <f>ROW()-2</f>
        <v>1</v>
      </c>
      <c r="B3" s="2" t="s">
        <v>89</v>
      </c>
      <c r="C3" s="6"/>
      <c r="D3" s="6" t="s">
        <v>4</v>
      </c>
      <c r="E3" s="7">
        <f>SUMIF('11.23'!$B$13:$B$48,СМР!$B3,'11.23'!F$13:F$48)</f>
        <v>1</v>
      </c>
      <c r="F3" s="7">
        <f>SUMIF('11.23'!$B$13:$B$48,СМР!$B3,'11.23'!G$13:G$48)</f>
        <v>0</v>
      </c>
      <c r="G3" s="7">
        <f>SUMIF('11.23'!$B$13:$B$48,СМР!$B3,'11.23'!H$13:H$48)</f>
        <v>1</v>
      </c>
      <c r="H3" s="7"/>
      <c r="I3" s="7">
        <f>H3*G3</f>
        <v>0</v>
      </c>
      <c r="J3" s="2"/>
    </row>
    <row r="4" spans="1:13" x14ac:dyDescent="0.3">
      <c r="A4" s="6">
        <f t="shared" ref="A4:A6" si="0">ROW()-2</f>
        <v>2</v>
      </c>
      <c r="B4" s="2" t="s">
        <v>90</v>
      </c>
      <c r="C4" s="8"/>
      <c r="D4" s="6" t="s">
        <v>4</v>
      </c>
      <c r="E4" s="7">
        <f>SUMIF('11.23'!$B$13:$B$48,СМР!$B4,'11.23'!F$13:F$48)</f>
        <v>0</v>
      </c>
      <c r="F4" s="7">
        <f>SUMIF('11.23'!$B$13:$B$48,СМР!$B4,'11.23'!G$13:G$48)</f>
        <v>1</v>
      </c>
      <c r="G4" s="7">
        <f>SUMIF('11.23'!$B$13:$B$48,СМР!$B4,'11.23'!H$13:H$48)</f>
        <v>1</v>
      </c>
      <c r="H4" s="7"/>
      <c r="I4" s="7">
        <f t="shared" ref="I4:I6" si="1">H4*G4</f>
        <v>0</v>
      </c>
      <c r="J4" s="2"/>
    </row>
    <row r="5" spans="1:13" x14ac:dyDescent="0.3">
      <c r="A5" s="6">
        <f t="shared" si="0"/>
        <v>3</v>
      </c>
      <c r="B5" s="2" t="s">
        <v>29</v>
      </c>
      <c r="C5" s="8"/>
      <c r="D5" s="6" t="s">
        <v>4</v>
      </c>
      <c r="E5" s="7">
        <f>SUMIF('11.23'!$B$13:$B$48,СМР!$B5,'11.23'!F$13:F$48)</f>
        <v>1</v>
      </c>
      <c r="F5" s="7">
        <f>SUMIF('11.23'!$B$13:$B$48,СМР!$B5,'11.23'!G$13:G$48)</f>
        <v>0</v>
      </c>
      <c r="G5" s="7">
        <f>SUMIF('11.23'!$B$13:$B$48,СМР!$B5,'11.23'!H$13:H$48)</f>
        <v>1</v>
      </c>
      <c r="H5" s="7"/>
      <c r="I5" s="7">
        <f t="shared" si="1"/>
        <v>0</v>
      </c>
      <c r="J5" s="2"/>
    </row>
    <row r="6" spans="1:13" x14ac:dyDescent="0.3">
      <c r="A6" s="6">
        <f t="shared" si="0"/>
        <v>4</v>
      </c>
      <c r="B6" s="9" t="s">
        <v>30</v>
      </c>
      <c r="C6" s="8"/>
      <c r="D6" s="6" t="s">
        <v>4</v>
      </c>
      <c r="E6" s="7">
        <f>SUMIF('11.23'!$B$13:$B$48,СМР!$B6,'11.23'!F$13:F$48)</f>
        <v>0</v>
      </c>
      <c r="F6" s="7">
        <f>SUMIF('11.23'!$B$13:$B$48,СМР!$B6,'11.23'!G$13:G$48)</f>
        <v>1</v>
      </c>
      <c r="G6" s="7">
        <f>SUMIF('11.23'!$B$13:$B$48,СМР!$B6,'11.23'!H$13:H$48)</f>
        <v>1</v>
      </c>
      <c r="H6" s="7"/>
      <c r="I6" s="7">
        <f t="shared" si="1"/>
        <v>0</v>
      </c>
      <c r="J6" s="2"/>
    </row>
    <row r="7" spans="1:13" x14ac:dyDescent="0.3">
      <c r="H7" s="10" t="s">
        <v>77</v>
      </c>
      <c r="I7" s="11">
        <f>SUM(I3:I6)</f>
        <v>0</v>
      </c>
    </row>
    <row r="8" spans="1:13" x14ac:dyDescent="0.3">
      <c r="H8" s="10" t="s">
        <v>78</v>
      </c>
      <c r="I8" s="12">
        <f>I7-'11.23'!J52</f>
        <v>0</v>
      </c>
    </row>
    <row r="10" spans="1:13" x14ac:dyDescent="0.3">
      <c r="B10" s="13" t="s">
        <v>31</v>
      </c>
      <c r="C10" s="13"/>
      <c r="D10" s="14"/>
      <c r="E10" s="14"/>
      <c r="I10" s="15"/>
      <c r="K10" s="16"/>
      <c r="L10" s="17"/>
      <c r="M10" s="16"/>
    </row>
    <row r="11" spans="1:13" ht="41.25" customHeight="1" x14ac:dyDescent="0.3">
      <c r="A11" s="18" t="s">
        <v>18</v>
      </c>
      <c r="B11" s="127" t="s">
        <v>32</v>
      </c>
      <c r="C11" s="127"/>
      <c r="D11" s="127"/>
      <c r="E11" s="127"/>
      <c r="F11" s="127"/>
      <c r="G11" s="127"/>
      <c r="H11" s="127"/>
      <c r="I11" s="127"/>
      <c r="J11" s="127"/>
      <c r="K11" s="19"/>
      <c r="L11" s="19"/>
      <c r="M11" s="20"/>
    </row>
    <row r="12" spans="1:13" ht="73.2" customHeight="1" x14ac:dyDescent="0.3">
      <c r="A12" s="21" t="s">
        <v>18</v>
      </c>
      <c r="B12" s="127" t="s">
        <v>33</v>
      </c>
      <c r="C12" s="127"/>
      <c r="D12" s="127"/>
      <c r="E12" s="127"/>
      <c r="F12" s="127"/>
      <c r="G12" s="127"/>
      <c r="H12" s="127"/>
      <c r="I12" s="127"/>
      <c r="J12" s="127"/>
      <c r="K12" s="19"/>
      <c r="L12" s="19"/>
      <c r="M12" s="22"/>
    </row>
    <row r="13" spans="1:13" ht="13.8" customHeight="1" x14ac:dyDescent="0.3">
      <c r="A13" s="18" t="s">
        <v>18</v>
      </c>
      <c r="B13" s="23" t="s">
        <v>34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4"/>
    </row>
  </sheetData>
  <mergeCells count="2">
    <mergeCell ref="B11:J11"/>
    <mergeCell ref="B12:J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C2AAD-9528-44C2-9F74-EC85A3647C82}">
  <dimension ref="A1:M31"/>
  <sheetViews>
    <sheetView zoomScale="85" zoomScaleNormal="85" workbookViewId="0">
      <pane xSplit="12" ySplit="2" topLeftCell="M21" activePane="bottomRight" state="frozen"/>
      <selection activeCell="E3" sqref="E3"/>
      <selection pane="topRight" activeCell="E3" sqref="E3"/>
      <selection pane="bottomLeft" activeCell="E3" sqref="E3"/>
      <selection pane="bottomRight" activeCell="I34" sqref="I34"/>
    </sheetView>
  </sheetViews>
  <sheetFormatPr defaultRowHeight="13.8" x14ac:dyDescent="0.3"/>
  <cols>
    <col min="1" max="1" width="8.88671875" style="1"/>
    <col min="2" max="2" width="49.21875" style="1" customWidth="1"/>
    <col min="3" max="3" width="16" style="1" customWidth="1"/>
    <col min="4" max="4" width="33.77734375" style="1" customWidth="1"/>
    <col min="5" max="9" width="8.88671875" style="1"/>
    <col min="10" max="10" width="15.88671875" style="1" customWidth="1"/>
    <col min="11" max="11" width="32.109375" style="1" customWidth="1"/>
    <col min="12" max="12" width="17.88671875" style="1" customWidth="1"/>
    <col min="13" max="16384" width="8.88671875" style="1"/>
  </cols>
  <sheetData>
    <row r="1" spans="1:12" x14ac:dyDescent="0.3">
      <c r="A1" s="1" t="s">
        <v>79</v>
      </c>
    </row>
    <row r="2" spans="1:12" ht="27.6" x14ac:dyDescent="0.3">
      <c r="A2" s="25" t="s">
        <v>74</v>
      </c>
      <c r="B2" s="3" t="s">
        <v>1</v>
      </c>
      <c r="C2" s="3" t="s">
        <v>16</v>
      </c>
      <c r="D2" s="3" t="s">
        <v>17</v>
      </c>
      <c r="E2" s="3" t="s">
        <v>9</v>
      </c>
      <c r="F2" s="3" t="s">
        <v>75</v>
      </c>
      <c r="G2" s="3" t="s">
        <v>76</v>
      </c>
      <c r="H2" s="4" t="s">
        <v>2</v>
      </c>
      <c r="I2" s="5" t="s">
        <v>6</v>
      </c>
      <c r="J2" s="5" t="s">
        <v>7</v>
      </c>
      <c r="K2" s="5" t="s">
        <v>8</v>
      </c>
      <c r="L2" s="5" t="s">
        <v>24</v>
      </c>
    </row>
    <row r="3" spans="1:12" ht="27.6" x14ac:dyDescent="0.3">
      <c r="A3" s="6">
        <f>ROW()-2</f>
        <v>1</v>
      </c>
      <c r="B3" s="128" t="s">
        <v>25</v>
      </c>
      <c r="C3" s="6" t="s">
        <v>26</v>
      </c>
      <c r="D3" s="129" t="s">
        <v>59</v>
      </c>
      <c r="E3" s="129" t="s">
        <v>3</v>
      </c>
      <c r="F3" s="7">
        <f>SUMIF('11.23'!$B$13:$B$48,$B3,'11.23'!F$13:F$48)</f>
        <v>88</v>
      </c>
      <c r="G3" s="7">
        <f>SUMIF('11.23'!$B$13:$B$48,$B3,'11.23'!G$13:G$48)</f>
        <v>156</v>
      </c>
      <c r="H3" s="7">
        <f>SUMIF('11.23'!$B$13:$B$48,$B3,'11.23'!H$13:H$48)</f>
        <v>244</v>
      </c>
      <c r="I3" s="7"/>
      <c r="J3" s="7">
        <f>I3*H3</f>
        <v>0</v>
      </c>
      <c r="K3" s="129">
        <f>VLOOKUP(B3,'11.23'!$B$13:$K$54,10,0)</f>
        <v>0</v>
      </c>
      <c r="L3" s="6"/>
    </row>
    <row r="4" spans="1:12" ht="27.6" x14ac:dyDescent="0.3">
      <c r="A4" s="6">
        <f t="shared" ref="A4:A24" si="0">ROW()-2</f>
        <v>2</v>
      </c>
      <c r="B4" s="128" t="s">
        <v>39</v>
      </c>
      <c r="C4" s="6" t="s">
        <v>26</v>
      </c>
      <c r="D4" s="129" t="s">
        <v>60</v>
      </c>
      <c r="E4" s="129" t="s">
        <v>3</v>
      </c>
      <c r="F4" s="7">
        <f>SUMIF('11.23'!$B$13:$B$48,$B4,'11.23'!F$13:F$48)</f>
        <v>176</v>
      </c>
      <c r="G4" s="7">
        <f>SUMIF('11.23'!$B$13:$B$48,$B4,'11.23'!G$13:G$48)</f>
        <v>312</v>
      </c>
      <c r="H4" s="7">
        <f>SUMIF('11.23'!$B$13:$B$48,$B4,'11.23'!H$13:H$48)</f>
        <v>488</v>
      </c>
      <c r="I4" s="7"/>
      <c r="J4" s="7">
        <f t="shared" ref="J4:J24" si="1">I4*H4</f>
        <v>0</v>
      </c>
      <c r="K4" s="129">
        <f>VLOOKUP(B4,'11.23'!$B$13:$K$54,10,0)</f>
        <v>0</v>
      </c>
      <c r="L4" s="6"/>
    </row>
    <row r="5" spans="1:12" x14ac:dyDescent="0.3">
      <c r="A5" s="6">
        <f t="shared" si="0"/>
        <v>3</v>
      </c>
      <c r="B5" s="128" t="s">
        <v>51</v>
      </c>
      <c r="C5" s="6" t="s">
        <v>26</v>
      </c>
      <c r="D5" s="129" t="s">
        <v>52</v>
      </c>
      <c r="E5" s="129" t="s">
        <v>3</v>
      </c>
      <c r="F5" s="7">
        <f>SUMIF('11.23'!$B$13:$B$48,$B5,'11.23'!F$13:F$48)</f>
        <v>88</v>
      </c>
      <c r="G5" s="7">
        <f>SUMIF('11.23'!$B$13:$B$48,$B5,'11.23'!G$13:G$48)</f>
        <v>156</v>
      </c>
      <c r="H5" s="7">
        <f>SUMIF('11.23'!$B$13:$B$48,$B5,'11.23'!H$13:H$48)</f>
        <v>244</v>
      </c>
      <c r="I5" s="7"/>
      <c r="J5" s="7">
        <f t="shared" si="1"/>
        <v>0</v>
      </c>
      <c r="K5" s="129">
        <f>VLOOKUP(B5,'11.23'!$B$13:$K$54,10,0)</f>
        <v>0</v>
      </c>
      <c r="L5" s="6"/>
    </row>
    <row r="6" spans="1:12" x14ac:dyDescent="0.3">
      <c r="A6" s="6">
        <f t="shared" si="0"/>
        <v>4</v>
      </c>
      <c r="B6" s="128" t="s">
        <v>69</v>
      </c>
      <c r="C6" s="6" t="s">
        <v>26</v>
      </c>
      <c r="D6" s="129"/>
      <c r="E6" s="129" t="s">
        <v>3</v>
      </c>
      <c r="F6" s="7">
        <f>SUMIF('11.23'!$B$13:$B$48,$B6,'11.23'!F$13:F$48)</f>
        <v>88</v>
      </c>
      <c r="G6" s="7">
        <f>SUMIF('11.23'!$B$13:$B$48,$B6,'11.23'!G$13:G$48)</f>
        <v>156</v>
      </c>
      <c r="H6" s="7">
        <f>SUMIF('11.23'!$B$13:$B$48,$B6,'11.23'!H$13:H$48)</f>
        <v>244</v>
      </c>
      <c r="I6" s="7"/>
      <c r="J6" s="7">
        <f t="shared" si="1"/>
        <v>0</v>
      </c>
      <c r="K6" s="129">
        <f>VLOOKUP(B6,'11.23'!$B$13:$K$54,10,0)</f>
        <v>0</v>
      </c>
      <c r="L6" s="6"/>
    </row>
    <row r="7" spans="1:12" ht="27.6" x14ac:dyDescent="0.3">
      <c r="A7" s="6">
        <f t="shared" si="0"/>
        <v>5</v>
      </c>
      <c r="B7" s="128" t="s">
        <v>49</v>
      </c>
      <c r="C7" s="6"/>
      <c r="D7" s="129"/>
      <c r="E7" s="129" t="s">
        <v>3</v>
      </c>
      <c r="F7" s="7">
        <f>SUMIF('11.23'!$B$13:$B$48,$B7,'11.23'!F$13:F$48)</f>
        <v>88</v>
      </c>
      <c r="G7" s="7">
        <f>SUMIF('11.23'!$B$13:$B$48,$B7,'11.23'!G$13:G$48)</f>
        <v>156</v>
      </c>
      <c r="H7" s="7">
        <f>SUMIF('11.23'!$B$13:$B$48,$B7,'11.23'!H$13:H$48)</f>
        <v>244</v>
      </c>
      <c r="I7" s="7"/>
      <c r="J7" s="7">
        <f t="shared" si="1"/>
        <v>0</v>
      </c>
      <c r="K7" s="129">
        <f>VLOOKUP(B7,'11.23'!$B$13:$K$54,10,0)</f>
        <v>0</v>
      </c>
      <c r="L7" s="6"/>
    </row>
    <row r="8" spans="1:12" ht="31.2" customHeight="1" x14ac:dyDescent="0.3">
      <c r="A8" s="6">
        <f t="shared" si="0"/>
        <v>6</v>
      </c>
      <c r="B8" s="128" t="s">
        <v>40</v>
      </c>
      <c r="C8" s="6"/>
      <c r="D8" s="129" t="s">
        <v>53</v>
      </c>
      <c r="E8" s="129" t="s">
        <v>50</v>
      </c>
      <c r="F8" s="7">
        <f>SUMIF('11.23'!$B$13:$B$48,$B8,'11.23'!F$13:F$48)</f>
        <v>616</v>
      </c>
      <c r="G8" s="7">
        <f>SUMIF('11.23'!$B$13:$B$48,$B8,'11.23'!G$13:G$48)</f>
        <v>1092</v>
      </c>
      <c r="H8" s="7">
        <f>SUMIF('11.23'!$B$13:$B$48,$B8,'11.23'!H$13:H$48)</f>
        <v>1708</v>
      </c>
      <c r="I8" s="7"/>
      <c r="J8" s="7">
        <f t="shared" si="1"/>
        <v>0</v>
      </c>
      <c r="K8" s="129">
        <f>VLOOKUP(B8,'11.23'!$B$13:$K$54,10,0)</f>
        <v>0</v>
      </c>
      <c r="L8" s="6"/>
    </row>
    <row r="9" spans="1:12" x14ac:dyDescent="0.3">
      <c r="A9" s="6">
        <f t="shared" si="0"/>
        <v>7</v>
      </c>
      <c r="B9" s="128" t="s">
        <v>62</v>
      </c>
      <c r="C9" s="6"/>
      <c r="D9" s="129" t="s">
        <v>56</v>
      </c>
      <c r="E9" s="129" t="s">
        <v>50</v>
      </c>
      <c r="F9" s="7">
        <f>SUMIF('11.23'!$B$13:$B$48,$B9,'11.23'!F$13:F$48)</f>
        <v>1903</v>
      </c>
      <c r="G9" s="7">
        <f>SUMIF('11.23'!$B$13:$B$48,$B9,'11.23'!G$13:G$48)</f>
        <v>3854</v>
      </c>
      <c r="H9" s="7">
        <f>SUMIF('11.23'!$B$13:$B$48,$B9,'11.23'!H$13:H$48)</f>
        <v>5757</v>
      </c>
      <c r="I9" s="7"/>
      <c r="J9" s="7">
        <f t="shared" si="1"/>
        <v>0</v>
      </c>
      <c r="K9" s="129">
        <f>VLOOKUP(B9,'11.23'!$B$13:$K$54,10,0)</f>
        <v>0</v>
      </c>
      <c r="L9" s="6"/>
    </row>
    <row r="10" spans="1:12" ht="27.6" x14ac:dyDescent="0.3">
      <c r="A10" s="6">
        <f t="shared" si="0"/>
        <v>8</v>
      </c>
      <c r="B10" s="128" t="s">
        <v>63</v>
      </c>
      <c r="C10" s="6"/>
      <c r="D10" s="129" t="s">
        <v>64</v>
      </c>
      <c r="E10" s="129" t="s">
        <v>50</v>
      </c>
      <c r="F10" s="7">
        <f>SUMIF('11.23'!$B$13:$B$48,$B10,'11.23'!F$13:F$48)</f>
        <v>187</v>
      </c>
      <c r="G10" s="7">
        <f>SUMIF('11.23'!$B$13:$B$48,$B10,'11.23'!G$13:G$48)</f>
        <v>500</v>
      </c>
      <c r="H10" s="7">
        <f>SUMIF('11.23'!$B$13:$B$48,$B10,'11.23'!H$13:H$48)</f>
        <v>687</v>
      </c>
      <c r="I10" s="7"/>
      <c r="J10" s="7">
        <f t="shared" si="1"/>
        <v>0</v>
      </c>
      <c r="K10" s="129">
        <f>VLOOKUP(B10,'11.23'!$B$13:$K$54,10,0)</f>
        <v>0</v>
      </c>
      <c r="L10" s="6"/>
    </row>
    <row r="11" spans="1:12" ht="27.6" x14ac:dyDescent="0.3">
      <c r="A11" s="6">
        <f t="shared" si="0"/>
        <v>9</v>
      </c>
      <c r="B11" s="128" t="s">
        <v>54</v>
      </c>
      <c r="C11" s="6"/>
      <c r="D11" s="129" t="s">
        <v>55</v>
      </c>
      <c r="E11" s="129" t="s">
        <v>50</v>
      </c>
      <c r="F11" s="7">
        <f>SUMIF('11.23'!$B$13:$B$48,$B11,'11.23'!F$13:F$48)</f>
        <v>1980</v>
      </c>
      <c r="G11" s="7">
        <f>SUMIF('11.23'!$B$13:$B$48,$B11,'11.23'!G$13:G$48)</f>
        <v>3822</v>
      </c>
      <c r="H11" s="7">
        <f>SUMIF('11.23'!$B$13:$B$48,$B11,'11.23'!H$13:H$48)</f>
        <v>5802</v>
      </c>
      <c r="I11" s="7"/>
      <c r="J11" s="7">
        <f t="shared" si="1"/>
        <v>0</v>
      </c>
      <c r="K11" s="129">
        <f>VLOOKUP(B11,'11.23'!$B$13:$K$54,10,0)</f>
        <v>0</v>
      </c>
      <c r="L11" s="6"/>
    </row>
    <row r="12" spans="1:12" ht="27.6" x14ac:dyDescent="0.3">
      <c r="A12" s="6">
        <f t="shared" si="0"/>
        <v>10</v>
      </c>
      <c r="B12" s="128" t="s">
        <v>65</v>
      </c>
      <c r="C12" s="6"/>
      <c r="D12" s="129"/>
      <c r="E12" s="129" t="s">
        <v>3</v>
      </c>
      <c r="F12" s="7">
        <f>SUMIF('11.23'!$B$13:$B$48,$B12,'11.23'!F$13:F$48)</f>
        <v>88</v>
      </c>
      <c r="G12" s="7">
        <f>SUMIF('11.23'!$B$13:$B$48,$B12,'11.23'!G$13:G$48)</f>
        <v>156</v>
      </c>
      <c r="H12" s="7">
        <f>SUMIF('11.23'!$B$13:$B$48,$B12,'11.23'!H$13:H$48)</f>
        <v>244</v>
      </c>
      <c r="I12" s="7"/>
      <c r="J12" s="7">
        <f t="shared" si="1"/>
        <v>0</v>
      </c>
      <c r="K12" s="129">
        <f>VLOOKUP(B12,'11.23'!$B$13:$K$54,10,0)</f>
        <v>0</v>
      </c>
      <c r="L12" s="6"/>
    </row>
    <row r="13" spans="1:12" x14ac:dyDescent="0.3">
      <c r="A13" s="6">
        <f t="shared" si="0"/>
        <v>11</v>
      </c>
      <c r="B13" s="128" t="s">
        <v>41</v>
      </c>
      <c r="C13" s="6"/>
      <c r="D13" s="129"/>
      <c r="E13" s="129" t="s">
        <v>3</v>
      </c>
      <c r="F13" s="7">
        <f>SUMIF('11.23'!$B$13:$B$48,$B13,'11.23'!F$13:F$48)</f>
        <v>352</v>
      </c>
      <c r="G13" s="7">
        <f>SUMIF('11.23'!$B$13:$B$48,$B13,'11.23'!G$13:G$48)</f>
        <v>624</v>
      </c>
      <c r="H13" s="7">
        <f>SUMIF('11.23'!$B$13:$B$48,$B13,'11.23'!H$13:H$48)</f>
        <v>976</v>
      </c>
      <c r="I13" s="7"/>
      <c r="J13" s="7">
        <f t="shared" si="1"/>
        <v>0</v>
      </c>
      <c r="K13" s="129">
        <f>VLOOKUP(B13,'11.23'!$B$13:$K$54,10,0)</f>
        <v>0</v>
      </c>
      <c r="L13" s="6"/>
    </row>
    <row r="14" spans="1:12" x14ac:dyDescent="0.3">
      <c r="A14" s="6">
        <f t="shared" si="0"/>
        <v>12</v>
      </c>
      <c r="B14" s="128" t="s">
        <v>42</v>
      </c>
      <c r="C14" s="6"/>
      <c r="D14" s="129"/>
      <c r="E14" s="129" t="s">
        <v>50</v>
      </c>
      <c r="F14" s="7">
        <f>SUMIF('11.23'!$B$13:$B$48,$B14,'11.23'!F$13:F$48)</f>
        <v>432</v>
      </c>
      <c r="G14" s="7">
        <f>SUMIF('11.23'!$B$13:$B$48,$B14,'11.23'!G$13:G$48)</f>
        <v>846</v>
      </c>
      <c r="H14" s="7">
        <f>SUMIF('11.23'!$B$13:$B$48,$B14,'11.23'!H$13:H$48)</f>
        <v>1278</v>
      </c>
      <c r="I14" s="7"/>
      <c r="J14" s="7">
        <f t="shared" si="1"/>
        <v>0</v>
      </c>
      <c r="K14" s="129">
        <f>VLOOKUP(B14,'11.23'!$B$13:$K$54,10,0)</f>
        <v>0</v>
      </c>
      <c r="L14" s="6"/>
    </row>
    <row r="15" spans="1:12" x14ac:dyDescent="0.3">
      <c r="A15" s="6">
        <f t="shared" si="0"/>
        <v>13</v>
      </c>
      <c r="B15" s="128" t="s">
        <v>43</v>
      </c>
      <c r="C15" s="6"/>
      <c r="D15" s="129"/>
      <c r="E15" s="129" t="s">
        <v>3</v>
      </c>
      <c r="F15" s="7">
        <f>SUMIF('11.23'!$B$13:$B$48,$B15,'11.23'!F$13:F$48)</f>
        <v>2200</v>
      </c>
      <c r="G15" s="7">
        <f>SUMIF('11.23'!$B$13:$B$48,$B15,'11.23'!G$13:G$48)</f>
        <v>3900</v>
      </c>
      <c r="H15" s="7">
        <f>SUMIF('11.23'!$B$13:$B$48,$B15,'11.23'!H$13:H$48)</f>
        <v>6100</v>
      </c>
      <c r="I15" s="7"/>
      <c r="J15" s="7">
        <f t="shared" si="1"/>
        <v>0</v>
      </c>
      <c r="K15" s="129">
        <f>VLOOKUP(B15,'11.23'!$B$13:$K$54,10,0)</f>
        <v>0</v>
      </c>
      <c r="L15" s="6"/>
    </row>
    <row r="16" spans="1:12" x14ac:dyDescent="0.3">
      <c r="A16" s="6">
        <f t="shared" si="0"/>
        <v>14</v>
      </c>
      <c r="B16" s="128" t="s">
        <v>70</v>
      </c>
      <c r="C16" s="6"/>
      <c r="D16" s="129"/>
      <c r="E16" s="129" t="s">
        <v>3</v>
      </c>
      <c r="F16" s="7">
        <f>SUMIF('11.23'!$B$13:$B$48,$B16,'11.23'!F$13:F$48)</f>
        <v>528</v>
      </c>
      <c r="G16" s="7">
        <f>SUMIF('11.23'!$B$13:$B$48,$B16,'11.23'!G$13:G$48)</f>
        <v>936</v>
      </c>
      <c r="H16" s="7">
        <f>SUMIF('11.23'!$B$13:$B$48,$B16,'11.23'!H$13:H$48)</f>
        <v>1464</v>
      </c>
      <c r="I16" s="7"/>
      <c r="J16" s="7">
        <f t="shared" si="1"/>
        <v>0</v>
      </c>
      <c r="K16" s="129">
        <f>VLOOKUP(B16,'11.23'!$B$13:$K$54,10,0)</f>
        <v>0</v>
      </c>
      <c r="L16" s="6"/>
    </row>
    <row r="17" spans="1:13" x14ac:dyDescent="0.3">
      <c r="A17" s="6">
        <f t="shared" si="0"/>
        <v>15</v>
      </c>
      <c r="B17" s="128" t="s">
        <v>71</v>
      </c>
      <c r="C17" s="6"/>
      <c r="D17" s="129"/>
      <c r="E17" s="129" t="s">
        <v>3</v>
      </c>
      <c r="F17" s="7">
        <f>SUMIF('11.23'!$B$13:$B$48,$B17,'11.23'!F$13:F$48)</f>
        <v>88</v>
      </c>
      <c r="G17" s="7">
        <f>SUMIF('11.23'!$B$13:$B$48,$B17,'11.23'!G$13:G$48)</f>
        <v>156</v>
      </c>
      <c r="H17" s="7">
        <f>SUMIF('11.23'!$B$13:$B$48,$B17,'11.23'!H$13:H$48)</f>
        <v>244</v>
      </c>
      <c r="I17" s="7"/>
      <c r="J17" s="7">
        <f t="shared" si="1"/>
        <v>0</v>
      </c>
      <c r="K17" s="129">
        <f>VLOOKUP(B17,'11.23'!$B$13:$K$54,10,0)</f>
        <v>0</v>
      </c>
      <c r="L17" s="6"/>
    </row>
    <row r="18" spans="1:13" ht="27.6" x14ac:dyDescent="0.3">
      <c r="A18" s="6">
        <f t="shared" si="0"/>
        <v>16</v>
      </c>
      <c r="B18" s="128" t="s">
        <v>72</v>
      </c>
      <c r="C18" s="6"/>
      <c r="D18" s="129"/>
      <c r="E18" s="129" t="s">
        <v>3</v>
      </c>
      <c r="F18" s="7">
        <f>SUMIF('11.23'!$B$13:$B$48,$B18,'11.23'!F$13:F$48)</f>
        <v>22</v>
      </c>
      <c r="G18" s="7">
        <f>SUMIF('11.23'!$B$13:$B$48,$B18,'11.23'!G$13:G$48)</f>
        <v>40</v>
      </c>
      <c r="H18" s="7">
        <f>SUMIF('11.23'!$B$13:$B$48,$B18,'11.23'!H$13:H$48)</f>
        <v>62</v>
      </c>
      <c r="I18" s="7"/>
      <c r="J18" s="7">
        <f t="shared" si="1"/>
        <v>0</v>
      </c>
      <c r="K18" s="129">
        <f>VLOOKUP(B18,'11.23'!$B$13:$K$54,10,0)</f>
        <v>0</v>
      </c>
      <c r="L18" s="6"/>
    </row>
    <row r="19" spans="1:13" ht="27.6" x14ac:dyDescent="0.3">
      <c r="A19" s="6">
        <f t="shared" si="0"/>
        <v>17</v>
      </c>
      <c r="B19" s="128" t="s">
        <v>61</v>
      </c>
      <c r="C19" s="6"/>
      <c r="D19" s="129"/>
      <c r="E19" s="129" t="s">
        <v>3</v>
      </c>
      <c r="F19" s="7">
        <f>SUMIF('11.23'!$B$13:$B$48,$B19,'11.23'!F$13:F$48)</f>
        <v>11</v>
      </c>
      <c r="G19" s="7">
        <f>SUMIF('11.23'!$B$13:$B$48,$B19,'11.23'!G$13:G$48)</f>
        <v>20</v>
      </c>
      <c r="H19" s="7">
        <f>SUMIF('11.23'!$B$13:$B$48,$B19,'11.23'!H$13:H$48)</f>
        <v>31</v>
      </c>
      <c r="I19" s="7"/>
      <c r="J19" s="7">
        <f t="shared" si="1"/>
        <v>0</v>
      </c>
      <c r="K19" s="129">
        <f>VLOOKUP(B19,'11.23'!$B$13:$K$54,10,0)</f>
        <v>0</v>
      </c>
      <c r="L19" s="6"/>
    </row>
    <row r="20" spans="1:13" x14ac:dyDescent="0.3">
      <c r="A20" s="6">
        <f t="shared" si="0"/>
        <v>18</v>
      </c>
      <c r="B20" s="128" t="s">
        <v>44</v>
      </c>
      <c r="C20" s="6"/>
      <c r="D20" s="129"/>
      <c r="E20" s="129" t="s">
        <v>3</v>
      </c>
      <c r="F20" s="7">
        <f>SUMIF('11.23'!$B$13:$B$48,$B20,'11.23'!F$13:F$48)</f>
        <v>11</v>
      </c>
      <c r="G20" s="7">
        <f>SUMIF('11.23'!$B$13:$B$48,$B20,'11.23'!G$13:G$48)</f>
        <v>20</v>
      </c>
      <c r="H20" s="7">
        <f>SUMIF('11.23'!$B$13:$B$48,$B20,'11.23'!H$13:H$48)</f>
        <v>31</v>
      </c>
      <c r="I20" s="7"/>
      <c r="J20" s="7">
        <f t="shared" si="1"/>
        <v>0</v>
      </c>
      <c r="K20" s="129">
        <f>VLOOKUP(B20,'11.23'!$B$13:$K$54,10,0)</f>
        <v>0</v>
      </c>
      <c r="L20" s="6"/>
    </row>
    <row r="21" spans="1:13" ht="33.6" customHeight="1" x14ac:dyDescent="0.3">
      <c r="A21" s="6">
        <f t="shared" si="0"/>
        <v>19</v>
      </c>
      <c r="B21" s="128" t="s">
        <v>45</v>
      </c>
      <c r="C21" s="6"/>
      <c r="D21" s="129"/>
      <c r="E21" s="129" t="s">
        <v>3</v>
      </c>
      <c r="F21" s="7">
        <f>SUMIF('11.23'!$B$13:$B$48,$B21,'11.23'!F$13:F$48)</f>
        <v>264</v>
      </c>
      <c r="G21" s="7">
        <f>SUMIF('11.23'!$B$13:$B$48,$B21,'11.23'!G$13:G$48)</f>
        <v>468</v>
      </c>
      <c r="H21" s="7">
        <f>SUMIF('11.23'!$B$13:$B$48,$B21,'11.23'!H$13:H$48)</f>
        <v>732</v>
      </c>
      <c r="I21" s="7"/>
      <c r="J21" s="7">
        <f t="shared" si="1"/>
        <v>0</v>
      </c>
      <c r="K21" s="129">
        <f>VLOOKUP(B21,'11.23'!$B$13:$K$54,10,0)</f>
        <v>0</v>
      </c>
      <c r="L21" s="6"/>
    </row>
    <row r="22" spans="1:13" ht="33.6" customHeight="1" x14ac:dyDescent="0.3">
      <c r="A22" s="6">
        <f t="shared" si="0"/>
        <v>20</v>
      </c>
      <c r="B22" s="128" t="s">
        <v>46</v>
      </c>
      <c r="C22" s="6"/>
      <c r="D22" s="129"/>
      <c r="E22" s="129" t="s">
        <v>3</v>
      </c>
      <c r="F22" s="7">
        <f>SUMIF('11.23'!$B$13:$B$48,$B22,'11.23'!F$13:F$48)</f>
        <v>275</v>
      </c>
      <c r="G22" s="7">
        <f>SUMIF('11.23'!$B$13:$B$48,$B22,'11.23'!G$13:G$48)</f>
        <v>488</v>
      </c>
      <c r="H22" s="7">
        <f>SUMIF('11.23'!$B$13:$B$48,$B22,'11.23'!H$13:H$48)</f>
        <v>763</v>
      </c>
      <c r="I22" s="7"/>
      <c r="J22" s="7">
        <f t="shared" si="1"/>
        <v>0</v>
      </c>
      <c r="K22" s="129">
        <f>VLOOKUP(B22,'11.23'!$B$13:$K$54,10,0)</f>
        <v>0</v>
      </c>
      <c r="L22" s="6"/>
    </row>
    <row r="23" spans="1:13" ht="33.6" customHeight="1" x14ac:dyDescent="0.3">
      <c r="A23" s="6">
        <f t="shared" si="0"/>
        <v>21</v>
      </c>
      <c r="B23" s="128" t="s">
        <v>47</v>
      </c>
      <c r="C23" s="6"/>
      <c r="D23" s="129"/>
      <c r="E23" s="129" t="s">
        <v>3</v>
      </c>
      <c r="F23" s="7">
        <f>SUMIF('11.23'!$B$13:$B$48,$B23,'11.23'!F$13:F$48)</f>
        <v>22</v>
      </c>
      <c r="G23" s="7">
        <f>SUMIF('11.23'!$B$13:$B$48,$B23,'11.23'!G$13:G$48)</f>
        <v>40</v>
      </c>
      <c r="H23" s="7">
        <f>SUMIF('11.23'!$B$13:$B$48,$B23,'11.23'!H$13:H$48)</f>
        <v>62</v>
      </c>
      <c r="I23" s="7"/>
      <c r="J23" s="7">
        <f t="shared" si="1"/>
        <v>0</v>
      </c>
      <c r="K23" s="129">
        <f>VLOOKUP(B23,'11.23'!$B$13:$K$54,10,0)</f>
        <v>0</v>
      </c>
      <c r="L23" s="6"/>
    </row>
    <row r="24" spans="1:13" x14ac:dyDescent="0.3">
      <c r="A24" s="6">
        <f t="shared" si="0"/>
        <v>22</v>
      </c>
      <c r="B24" s="128" t="s">
        <v>48</v>
      </c>
      <c r="C24" s="6"/>
      <c r="D24" s="129"/>
      <c r="E24" s="129" t="s">
        <v>3</v>
      </c>
      <c r="F24" s="7">
        <f>SUMIF('11.23'!$B$13:$B$48,$B24,'11.23'!F$13:F$48)</f>
        <v>1</v>
      </c>
      <c r="G24" s="7">
        <f>SUMIF('11.23'!$B$13:$B$48,$B24,'11.23'!G$13:G$48)</f>
        <v>1</v>
      </c>
      <c r="H24" s="7">
        <f>SUMIF('11.23'!$B$13:$B$48,$B24,'11.23'!H$13:H$48)</f>
        <v>2</v>
      </c>
      <c r="I24" s="7"/>
      <c r="J24" s="7">
        <f t="shared" si="1"/>
        <v>0</v>
      </c>
      <c r="K24" s="129">
        <f>VLOOKUP(B24,'11.23'!$B$13:$K$54,10,0)</f>
        <v>0</v>
      </c>
      <c r="L24" s="6"/>
    </row>
    <row r="25" spans="1:13" x14ac:dyDescent="0.3">
      <c r="I25" s="10" t="s">
        <v>77</v>
      </c>
      <c r="J25" s="11">
        <f>SUM(J3:J24)</f>
        <v>0</v>
      </c>
    </row>
    <row r="26" spans="1:13" x14ac:dyDescent="0.3">
      <c r="I26" s="10" t="s">
        <v>78</v>
      </c>
      <c r="J26" s="12">
        <f>J25-'11.23'!J53</f>
        <v>0</v>
      </c>
    </row>
    <row r="28" spans="1:13" x14ac:dyDescent="0.3">
      <c r="B28" s="13" t="s">
        <v>31</v>
      </c>
      <c r="C28" s="13"/>
      <c r="D28" s="14"/>
      <c r="E28" s="14"/>
      <c r="I28" s="15"/>
      <c r="K28" s="16"/>
      <c r="L28" s="17"/>
      <c r="M28" s="16"/>
    </row>
    <row r="29" spans="1:13" ht="41.25" customHeight="1" x14ac:dyDescent="0.3">
      <c r="A29" s="18" t="s">
        <v>18</v>
      </c>
      <c r="B29" s="127" t="s">
        <v>32</v>
      </c>
      <c r="C29" s="127"/>
      <c r="D29" s="127"/>
      <c r="E29" s="127"/>
      <c r="F29" s="127"/>
      <c r="G29" s="127"/>
      <c r="H29" s="127"/>
      <c r="I29" s="127"/>
      <c r="J29" s="127"/>
      <c r="K29" s="19"/>
      <c r="L29" s="19"/>
      <c r="M29" s="20"/>
    </row>
    <row r="30" spans="1:13" ht="73.2" customHeight="1" x14ac:dyDescent="0.3">
      <c r="A30" s="21" t="s">
        <v>18</v>
      </c>
      <c r="B30" s="127" t="s">
        <v>33</v>
      </c>
      <c r="C30" s="127"/>
      <c r="D30" s="127"/>
      <c r="E30" s="127"/>
      <c r="F30" s="127"/>
      <c r="G30" s="127"/>
      <c r="H30" s="127"/>
      <c r="I30" s="127"/>
      <c r="J30" s="127"/>
      <c r="K30" s="19"/>
      <c r="L30" s="19"/>
      <c r="M30" s="22"/>
    </row>
    <row r="31" spans="1:13" ht="13.8" customHeight="1" x14ac:dyDescent="0.3">
      <c r="A31" s="18" t="s">
        <v>18</v>
      </c>
      <c r="B31" s="23" t="s">
        <v>34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4"/>
    </row>
  </sheetData>
  <mergeCells count="2">
    <mergeCell ref="B29:J29"/>
    <mergeCell ref="B30:J30"/>
  </mergeCells>
  <conditionalFormatting sqref="B1:B1048576">
    <cfRule type="duplicateValues" dxfId="1" priority="2"/>
  </conditionalFormatting>
  <conditionalFormatting sqref="K3:K2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11.23</vt:lpstr>
      <vt:lpstr>СМР</vt:lpstr>
      <vt:lpstr>ТМЦ</vt:lpstr>
      <vt:lpstr>'11.23'!Область_печати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2026-02-17T17:37:08Z</dcterms:modified>
</cp:coreProperties>
</file>