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filterPrivacy="1"/>
  <xr:revisionPtr revIDLastSave="0" documentId="13_ncr:1_{A2760669-33F3-4F59-94A4-75476847A790}" xr6:coauthVersionLast="47" xr6:coauthVersionMax="47" xr10:uidLastSave="{00000000-0000-0000-0000-000000000000}"/>
  <bookViews>
    <workbookView xWindow="-108" yWindow="-108" windowWidth="23256" windowHeight="12576" tabRatio="713" xr2:uid="{00000000-000D-0000-FFFF-FFFF00000000}"/>
  </bookViews>
  <sheets>
    <sheet name="ЛСР№1" sheetId="14" r:id="rId1"/>
    <sheet name="СМР" sheetId="15" r:id="rId2"/>
    <sheet name="ТМЦ" sheetId="16" r:id="rId3"/>
  </sheets>
  <externalReferences>
    <externalReference r:id="rId4"/>
  </externalReferences>
  <definedNames>
    <definedName name="_xlnm._FilterDatabase" localSheetId="0" hidden="1">ЛСР№1!$A$12:$K$50</definedName>
    <definedName name="Данные">[1]Тестовый!$F$10:$H$14</definedName>
    <definedName name="_xlnm.Print_Area" localSheetId="0">ЛСР№1!$A$1:$K$55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2" i="14" l="1"/>
  <c r="K41" i="14"/>
  <c r="K40" i="14"/>
  <c r="K39" i="14"/>
  <c r="K38" i="14"/>
  <c r="K37" i="14"/>
  <c r="K36" i="14"/>
  <c r="K35" i="14"/>
  <c r="K34" i="14"/>
  <c r="K33" i="14"/>
  <c r="K32" i="14"/>
  <c r="K31" i="14"/>
  <c r="K30" i="14"/>
  <c r="K21" i="14"/>
  <c r="K22" i="14"/>
  <c r="K23" i="14"/>
  <c r="K24" i="14"/>
  <c r="K25" i="14"/>
  <c r="K26" i="14"/>
  <c r="K27" i="14"/>
  <c r="K28" i="14"/>
  <c r="K20" i="14"/>
  <c r="H18" i="14"/>
  <c r="H46" i="14"/>
  <c r="E4" i="15"/>
  <c r="G4" i="15" s="1"/>
  <c r="E3" i="15"/>
  <c r="G3" i="15" s="1"/>
  <c r="H42" i="14"/>
  <c r="H41" i="14"/>
  <c r="H40" i="14"/>
  <c r="H39" i="14"/>
  <c r="H38" i="14"/>
  <c r="H37" i="14"/>
  <c r="H36" i="14"/>
  <c r="H35" i="14"/>
  <c r="H34" i="14"/>
  <c r="H33" i="14"/>
  <c r="H32" i="14"/>
  <c r="H31" i="14"/>
  <c r="H30" i="14"/>
  <c r="H21" i="14"/>
  <c r="H22" i="14"/>
  <c r="H23" i="14"/>
  <c r="H24" i="14"/>
  <c r="H25" i="14"/>
  <c r="H26" i="14"/>
  <c r="H27" i="14"/>
  <c r="H28" i="14"/>
  <c r="H20" i="14"/>
  <c r="F4" i="16"/>
  <c r="H4" i="16" s="1"/>
  <c r="F5" i="16"/>
  <c r="H5" i="16" s="1"/>
  <c r="F6" i="16"/>
  <c r="H6" i="16" s="1"/>
  <c r="F7" i="16"/>
  <c r="H7" i="16" s="1"/>
  <c r="F8" i="16"/>
  <c r="H8" i="16" s="1"/>
  <c r="F9" i="16"/>
  <c r="H9" i="16" s="1"/>
  <c r="F10" i="16"/>
  <c r="H10" i="16" s="1"/>
  <c r="F11" i="16"/>
  <c r="H11" i="16" s="1"/>
  <c r="F12" i="16"/>
  <c r="H12" i="16" s="1"/>
  <c r="F13" i="16"/>
  <c r="H13" i="16" s="1"/>
  <c r="F14" i="16"/>
  <c r="H14" i="16" s="1"/>
  <c r="F15" i="16"/>
  <c r="H15" i="16" s="1"/>
  <c r="F16" i="16"/>
  <c r="H16" i="16" s="1"/>
  <c r="F17" i="16"/>
  <c r="H17" i="16" s="1"/>
  <c r="F18" i="16"/>
  <c r="H18" i="16" s="1"/>
  <c r="F19" i="16"/>
  <c r="H19" i="16" s="1"/>
  <c r="F20" i="16"/>
  <c r="H20" i="16" s="1"/>
  <c r="F21" i="16"/>
  <c r="H21" i="16" s="1"/>
  <c r="F22" i="16"/>
  <c r="H22" i="16" s="1"/>
  <c r="F23" i="16"/>
  <c r="H23" i="16" s="1"/>
  <c r="F24" i="16"/>
  <c r="H24" i="16" s="1"/>
  <c r="F3" i="16"/>
  <c r="H3" i="16" s="1"/>
  <c r="A24" i="16"/>
  <c r="A23" i="16"/>
  <c r="A22" i="16"/>
  <c r="A21" i="16"/>
  <c r="A20" i="16"/>
  <c r="A19" i="16"/>
  <c r="A18" i="16"/>
  <c r="A17" i="16"/>
  <c r="A16" i="16"/>
  <c r="A15" i="16"/>
  <c r="A14" i="16"/>
  <c r="A13" i="16"/>
  <c r="A12" i="16"/>
  <c r="A11" i="16"/>
  <c r="A10" i="16"/>
  <c r="A9" i="16"/>
  <c r="A8" i="16"/>
  <c r="A7" i="16"/>
  <c r="A6" i="16"/>
  <c r="A5" i="16"/>
  <c r="A4" i="16"/>
  <c r="A3" i="16"/>
  <c r="A4" i="15"/>
  <c r="A3" i="15"/>
  <c r="G35" i="14"/>
  <c r="F30" i="14"/>
  <c r="F23" i="14"/>
  <c r="F24" i="14"/>
  <c r="F22" i="14"/>
  <c r="F21" i="14"/>
  <c r="G5" i="15" l="1"/>
  <c r="I35" i="14"/>
  <c r="H25" i="16"/>
  <c r="G23" i="14"/>
  <c r="I23" i="14" s="1"/>
  <c r="G30" i="14"/>
  <c r="I30" i="14" s="1"/>
  <c r="G27" i="14" l="1"/>
  <c r="I27" i="14" s="1"/>
  <c r="G36" i="14"/>
  <c r="I36" i="14" s="1"/>
  <c r="G31" i="14"/>
  <c r="I31" i="14" s="1"/>
  <c r="G20" i="14"/>
  <c r="I20" i="14" s="1"/>
  <c r="G33" i="14" l="1"/>
  <c r="I33" i="14" s="1"/>
  <c r="G21" i="14"/>
  <c r="I21" i="14" s="1"/>
  <c r="G22" i="14"/>
  <c r="I22" i="14" s="1"/>
  <c r="G25" i="14"/>
  <c r="I25" i="14" s="1"/>
  <c r="G28" i="14"/>
  <c r="I28" i="14" s="1"/>
  <c r="G32" i="14"/>
  <c r="I32" i="14" s="1"/>
  <c r="I29" i="14" s="1"/>
  <c r="G26" i="14"/>
  <c r="I26" i="14" s="1"/>
  <c r="G34" i="14"/>
  <c r="I34" i="14" s="1"/>
  <c r="G37" i="14"/>
  <c r="I37" i="14" s="1"/>
  <c r="G38" i="14"/>
  <c r="I38" i="14" s="1"/>
  <c r="G39" i="14"/>
  <c r="I39" i="14" s="1"/>
  <c r="G40" i="14"/>
  <c r="I40" i="14" s="1"/>
  <c r="G41" i="14"/>
  <c r="I41" i="14" s="1"/>
  <c r="G42" i="14"/>
  <c r="I42" i="14" s="1"/>
  <c r="G24" i="14"/>
  <c r="I24" i="14" s="1"/>
  <c r="I19" i="14" l="1"/>
  <c r="I49" i="14" s="1"/>
  <c r="G18" i="14"/>
  <c r="I18" i="14" s="1"/>
  <c r="I17" i="14" l="1"/>
  <c r="G46" i="14"/>
  <c r="I46" i="14" s="1"/>
  <c r="H26" i="16"/>
  <c r="G29" i="14" l="1"/>
  <c r="I48" i="14"/>
  <c r="I45" i="14"/>
  <c r="I16" i="14" l="1"/>
  <c r="I47" i="14" s="1"/>
  <c r="I50" i="14" s="1"/>
  <c r="I44" i="14"/>
  <c r="G6" i="15"/>
</calcChain>
</file>

<file path=xl/sharedStrings.xml><?xml version="1.0" encoding="utf-8"?>
<sst xmlns="http://schemas.openxmlformats.org/spreadsheetml/2006/main" count="206" uniqueCount="84">
  <si>
    <t>№</t>
  </si>
  <si>
    <t>Наименование</t>
  </si>
  <si>
    <t>Кол-во</t>
  </si>
  <si>
    <t>шт.</t>
  </si>
  <si>
    <t>комплекс</t>
  </si>
  <si>
    <t>ПНР</t>
  </si>
  <si>
    <t>Цена</t>
  </si>
  <si>
    <t>Сумма</t>
  </si>
  <si>
    <t>Примечание</t>
  </si>
  <si>
    <t>Ед. изм.</t>
  </si>
  <si>
    <t xml:space="preserve">Внутренние инженерные сети </t>
  </si>
  <si>
    <t>Работа:</t>
  </si>
  <si>
    <t>Материалы:</t>
  </si>
  <si>
    <t>Установка оборудования</t>
  </si>
  <si>
    <t>в тч стоимость работ:</t>
  </si>
  <si>
    <t>в тч стоимость материалов:</t>
  </si>
  <si>
    <t>Марка</t>
  </si>
  <si>
    <t>Характеристика</t>
  </si>
  <si>
    <t>-</t>
  </si>
  <si>
    <t>Приложение №</t>
  </si>
  <si>
    <t>к Договору подряда №</t>
  </si>
  <si>
    <t>ПОДРЯДЧИК:</t>
  </si>
  <si>
    <t>ЗАКАЗЧИК:</t>
  </si>
  <si>
    <t>ТЕХНИЧЕСКИЙ ЗАКАЗЧИК:</t>
  </si>
  <si>
    <t>Форма закупа материала</t>
  </si>
  <si>
    <t>Блок управления</t>
  </si>
  <si>
    <t xml:space="preserve">Gidrolock </t>
  </si>
  <si>
    <t>11.11.06</t>
  </si>
  <si>
    <t>11.11.06.00.</t>
  </si>
  <si>
    <t>Примечание: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</si>
  <si>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расходных материалов в актах выполненных работ (формы КС-2, КС-3), уменьшив на сумму исключенного материала.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</si>
  <si>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 Обеспечение безопасного производства работ на участке.</t>
  </si>
  <si>
    <t>Стоимость материалов учитывает стоимость доставки.</t>
  </si>
  <si>
    <t>11.23.</t>
  </si>
  <si>
    <t>Система "Безопасный дом"</t>
  </si>
  <si>
    <t>11.23.01</t>
  </si>
  <si>
    <t>11.23.01.00.</t>
  </si>
  <si>
    <t>Кран шаровой с электроприводом</t>
  </si>
  <si>
    <t>Кабель тип 2</t>
  </si>
  <si>
    <t>Скотчлок соединитель EC-SL-UY2-YL-100</t>
  </si>
  <si>
    <t>Монтажная лента текстильная под пистолет</t>
  </si>
  <si>
    <t>Дюбель-хомут 5-10мм нейлон (100шт. в пч.)</t>
  </si>
  <si>
    <t>Коробка ответвит. с гладкими стенками, IP56, 300х220х120мм</t>
  </si>
  <si>
    <t>Колодка клеммная пружинная JXB-ST-2.5 28А 3 вывода серая EKF PROxima (PLC-JXB-ST-2.5-3)</t>
  </si>
  <si>
    <t>Кабельный ввод (сальник) PG 13.5 (IP68) d отверстия 6-12 мм</t>
  </si>
  <si>
    <t>Din-рейка REXANT 25см</t>
  </si>
  <si>
    <t>Контактная проводящая паста КПП 100 гр. КВТ</t>
  </si>
  <si>
    <t xml:space="preserve">Извещатель охранный магнитоконтактный врезной монтаж «ИО 102-6» </t>
  </si>
  <si>
    <t>м.</t>
  </si>
  <si>
    <t>Датчик протечки воды беспроводной</t>
  </si>
  <si>
    <t xml:space="preserve"> WSR (радио) белый</t>
  </si>
  <si>
    <t xml:space="preserve"> КСПВ 4х0,5</t>
  </si>
  <si>
    <t xml:space="preserve">Труба </t>
  </si>
  <si>
    <t>гофрированная ПНД легкая безгалогенная (HF) зонд д16</t>
  </si>
  <si>
    <t>монтажный МКШнг(А)-LS 5х0.75</t>
  </si>
  <si>
    <t>%</t>
  </si>
  <si>
    <t>_________________/</t>
  </si>
  <si>
    <t xml:space="preserve"> STANDARD RADIO (1) DIN-рейка, арт. 22021231</t>
  </si>
  <si>
    <t>ШЭП ULTIMATE 220V G-LOCK 1/2" BS (11092061))</t>
  </si>
  <si>
    <t>Шина PE земля на DIN-изоляторах ШНИ-6х9-16-Д-Ж YNN10-69-16D-K05 IEK</t>
  </si>
  <si>
    <t>Кабель тип 3</t>
  </si>
  <si>
    <t>Кабель тип 4</t>
  </si>
  <si>
    <t>ПуГВ 1х6 жёлто-зелёный многопроволочный</t>
  </si>
  <si>
    <t>Автоматический выключатель 1P 5А (В) 4,5kA ВА 47-63 EKF PROxima</t>
  </si>
  <si>
    <t>Gidrolock Реле 10А дополнительное (на чёрную плату)</t>
  </si>
  <si>
    <t>Наконечник КВТ НШВИ 0,75-8</t>
  </si>
  <si>
    <t>Наконечник КВТ НШВИ2 0,75-8</t>
  </si>
  <si>
    <t>Наконечник медный КВТ луженый ТМЛ 6-6-4 под кабель 6,0мм болт М6</t>
  </si>
  <si>
    <t>Устройство системы Безопасный дом. ГП-72.215</t>
  </si>
  <si>
    <t>72.215</t>
  </si>
  <si>
    <t>Ведомость объемов работ</t>
  </si>
  <si>
    <t>№ п/п</t>
  </si>
  <si>
    <t>ИТОГО:</t>
  </si>
  <si>
    <t>проверка:</t>
  </si>
  <si>
    <t>Спецификация материалов</t>
  </si>
  <si>
    <t>ООО "ЭНКО СТРОЙ"</t>
  </si>
  <si>
    <t>ООО "Технический заказчик "ЭНКО"</t>
  </si>
  <si>
    <t>___________/С.И. Ярков</t>
  </si>
  <si>
    <t>Локальный сметный расчет №</t>
  </si>
  <si>
    <t>Монтажные работы</t>
  </si>
  <si>
    <t>Пусконаладочные работы</t>
  </si>
  <si>
    <r>
      <rPr>
        <b/>
        <sz val="10"/>
        <color theme="1"/>
        <rFont val="Arial Narrow"/>
        <family val="2"/>
        <charset val="204"/>
      </rPr>
      <t>Прочие материалы</t>
    </r>
    <r>
      <rPr>
        <sz val="10"/>
        <color theme="1"/>
        <rFont val="Arial Narrow"/>
        <family val="2"/>
        <charset val="204"/>
      </rPr>
      <t xml:space="preserve"> (Скотчлок соединитель EC-SL-UY2-YL-100, Автоматический выключатель 1P 5А (В) 4,5kA ВА 47-63 EKF PROxima, Монтажная лента текстильная под пистолет, Дюбель-хомут 5-10мм нейлон (100шт. в пч.), Наконечник штырьевой втулочный НШВ 0.75-8 79476 КВТ, Клемма DIY YOU PCT-213, быстрозажимной кабельный соединитель, 3 общих проводника L, Коробка ответвит. с гладкими стенками, IP56, 300х220х120мм, Колодка клеммная пружинная JXB-ST-1.5 17.5А серая EKF PROxima (PLC-JXB-ST-1.5), Колодка клеммная пружинная JXB-ST-2.5 28А 3 вывода серая EKF PROxima (PLC-JXB-ST-2.5-3), Кабельный ввод (сальник) PG 13.5 (IP68) d отверстия 6-12 мм, Din-рейка REXANT 25см, Контактная проводящая паста КПП 100 гр. КВТ)</t>
    </r>
  </si>
  <si>
    <t>Итого по ЛСР, в т.ч. НДС:</t>
  </si>
  <si>
    <t>в тч НДС 22%: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</si>
</sst>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₽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Calibri"/>
      <family val="2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  <charset val="204"/>
    </font>
    <font>
      <b/>
      <sz val="10"/>
      <name val="Arial Narrow"/>
      <family val="2"/>
      <charset val="204"/>
    </font>
    <font>
      <b/>
      <sz val="10"/>
      <color theme="1"/>
      <name val="Arial Narrow"/>
      <family val="2"/>
      <charset val="204"/>
    </font>
    <font>
      <b/>
      <i/>
      <u/>
      <sz val="10"/>
      <name val="Arial Narrow"/>
      <family val="2"/>
      <charset val="204"/>
    </font>
    <font>
      <sz val="10"/>
      <name val="Arial Narrow"/>
      <family val="2"/>
      <charset val="204"/>
    </font>
    <font>
      <sz val="10"/>
      <color rgb="FFFF0000"/>
      <name val="Arial Narrow"/>
      <family val="2"/>
      <charset val="204"/>
    </font>
    <font>
      <b/>
      <i/>
      <sz val="10"/>
      <color theme="1"/>
      <name val="Arial Narrow"/>
      <family val="2"/>
      <charset val="204"/>
    </font>
    <font>
      <b/>
      <i/>
      <u/>
      <sz val="10"/>
      <color theme="1"/>
      <name val="Arial Narrow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AE78D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7" fillId="0" borderId="0"/>
    <xf numFmtId="0" fontId="5" fillId="0" borderId="0"/>
    <xf numFmtId="0" fontId="8" fillId="0" borderId="0"/>
    <xf numFmtId="0" fontId="7" fillId="0" borderId="0"/>
    <xf numFmtId="0" fontId="4" fillId="0" borderId="0"/>
    <xf numFmtId="0" fontId="4" fillId="0" borderId="0"/>
    <xf numFmtId="0" fontId="3" fillId="0" borderId="0"/>
    <xf numFmtId="0" fontId="2" fillId="0" borderId="0"/>
    <xf numFmtId="0" fontId="9" fillId="0" borderId="0"/>
    <xf numFmtId="0" fontId="1" fillId="0" borderId="0"/>
  </cellStyleXfs>
  <cellXfs count="125">
    <xf numFmtId="0" fontId="0" fillId="0" borderId="0" xfId="0"/>
    <xf numFmtId="0" fontId="10" fillId="0" borderId="0" xfId="9" applyFont="1"/>
    <xf numFmtId="0" fontId="10" fillId="0" borderId="1" xfId="9" applyFont="1" applyBorder="1"/>
    <xf numFmtId="0" fontId="11" fillId="0" borderId="1" xfId="9" applyFont="1" applyBorder="1" applyAlignment="1">
      <alignment horizontal="center" vertical="center" wrapText="1"/>
    </xf>
    <xf numFmtId="164" fontId="12" fillId="0" borderId="1" xfId="9" applyNumberFormat="1" applyFont="1" applyBorder="1" applyAlignment="1">
      <alignment horizontal="center" vertical="center" wrapText="1"/>
    </xf>
    <xf numFmtId="4" fontId="11" fillId="0" borderId="1" xfId="9" applyNumberFormat="1" applyFont="1" applyBorder="1" applyAlignment="1">
      <alignment horizontal="center" vertical="center" wrapText="1"/>
    </xf>
    <xf numFmtId="0" fontId="10" fillId="0" borderId="1" xfId="9" applyFont="1" applyBorder="1" applyAlignment="1">
      <alignment horizontal="center" vertical="center"/>
    </xf>
    <xf numFmtId="4" fontId="10" fillId="0" borderId="1" xfId="9" applyNumberFormat="1" applyFont="1" applyBorder="1" applyAlignment="1">
      <alignment horizontal="center" vertical="center"/>
    </xf>
    <xf numFmtId="0" fontId="10" fillId="0" borderId="1" xfId="9" applyFont="1" applyBorder="1" applyAlignment="1">
      <alignment horizontal="center" wrapText="1"/>
    </xf>
    <xf numFmtId="0" fontId="10" fillId="0" borderId="0" xfId="9" applyFont="1" applyAlignment="1">
      <alignment horizontal="right"/>
    </xf>
    <xf numFmtId="4" fontId="12" fillId="0" borderId="0" xfId="9" applyNumberFormat="1" applyFont="1" applyAlignment="1">
      <alignment horizontal="center" vertical="center"/>
    </xf>
    <xf numFmtId="4" fontId="10" fillId="0" borderId="0" xfId="9" applyNumberFormat="1" applyFont="1" applyAlignment="1">
      <alignment horizontal="center" vertical="center"/>
    </xf>
    <xf numFmtId="0" fontId="13" fillId="0" borderId="0" xfId="9" applyFont="1" applyAlignment="1">
      <alignment vertical="center" wrapText="1"/>
    </xf>
    <xf numFmtId="0" fontId="10" fillId="0" borderId="0" xfId="9" applyFont="1" applyAlignment="1">
      <alignment wrapText="1"/>
    </xf>
    <xf numFmtId="0" fontId="12" fillId="0" borderId="0" xfId="9" applyFont="1"/>
    <xf numFmtId="4" fontId="10" fillId="0" borderId="0" xfId="9" applyNumberFormat="1" applyFont="1"/>
    <xf numFmtId="4" fontId="10" fillId="0" borderId="0" xfId="9" applyNumberFormat="1" applyFont="1" applyAlignment="1">
      <alignment wrapText="1"/>
    </xf>
    <xf numFmtId="49" fontId="14" fillId="0" borderId="0" xfId="9" applyNumberFormat="1" applyFont="1" applyAlignment="1">
      <alignment horizontal="center" vertical="center"/>
    </xf>
    <xf numFmtId="0" fontId="14" fillId="0" borderId="0" xfId="10" applyFont="1" applyAlignment="1">
      <alignment vertical="center" wrapText="1"/>
    </xf>
    <xf numFmtId="0" fontId="15" fillId="0" borderId="0" xfId="10" applyFont="1" applyAlignment="1">
      <alignment vertical="center" wrapText="1"/>
    </xf>
    <xf numFmtId="0" fontId="14" fillId="0" borderId="0" xfId="9" applyFont="1" applyAlignment="1">
      <alignment horizontal="center" vertical="center"/>
    </xf>
    <xf numFmtId="0" fontId="15" fillId="0" borderId="0" xfId="10" applyFont="1" applyAlignment="1">
      <alignment vertical="top" wrapText="1"/>
    </xf>
    <xf numFmtId="0" fontId="14" fillId="0" borderId="0" xfId="9" applyFont="1" applyAlignment="1">
      <alignment vertical="center"/>
    </xf>
    <xf numFmtId="0" fontId="15" fillId="0" borderId="0" xfId="9" applyFont="1" applyAlignment="1">
      <alignment vertical="top" wrapText="1"/>
    </xf>
    <xf numFmtId="49" fontId="11" fillId="0" borderId="1" xfId="9" applyNumberFormat="1" applyFont="1" applyBorder="1" applyAlignment="1">
      <alignment horizontal="center" vertical="center" wrapText="1"/>
    </xf>
    <xf numFmtId="0" fontId="10" fillId="0" borderId="1" xfId="9" applyFont="1" applyBorder="1" applyAlignment="1">
      <alignment vertical="center" wrapText="1"/>
    </xf>
    <xf numFmtId="0" fontId="10" fillId="0" borderId="1" xfId="9" applyFont="1" applyBorder="1" applyAlignment="1">
      <alignment horizontal="center" vertical="center" wrapText="1"/>
    </xf>
    <xf numFmtId="49" fontId="10" fillId="0" borderId="0" xfId="0" applyNumberFormat="1" applyFont="1"/>
    <xf numFmtId="0" fontId="10" fillId="0" borderId="0" xfId="0" applyFont="1" applyAlignment="1">
      <alignment wrapText="1"/>
    </xf>
    <xf numFmtId="0" fontId="10" fillId="0" borderId="0" xfId="0" applyFont="1" applyAlignment="1">
      <alignment vertical="center"/>
    </xf>
    <xf numFmtId="4" fontId="10" fillId="0" borderId="0" xfId="10" applyNumberFormat="1" applyFont="1"/>
    <xf numFmtId="0" fontId="10" fillId="0" borderId="0" xfId="0" applyFont="1"/>
    <xf numFmtId="4" fontId="12" fillId="0" borderId="0" xfId="10" applyNumberFormat="1" applyFont="1"/>
    <xf numFmtId="164" fontId="12" fillId="0" borderId="0" xfId="0" applyNumberFormat="1" applyFont="1"/>
    <xf numFmtId="164" fontId="10" fillId="0" borderId="0" xfId="0" applyNumberFormat="1" applyFont="1"/>
    <xf numFmtId="0" fontId="10" fillId="0" borderId="0" xfId="10" applyFont="1" applyAlignment="1">
      <alignment horizontal="right"/>
    </xf>
    <xf numFmtId="0" fontId="12" fillId="0" borderId="0" xfId="10" applyFont="1" applyAlignment="1">
      <alignment vertical="center"/>
    </xf>
    <xf numFmtId="0" fontId="12" fillId="0" borderId="0" xfId="10" applyFont="1"/>
    <xf numFmtId="0" fontId="10" fillId="0" borderId="0" xfId="0" applyFont="1" applyAlignment="1">
      <alignment vertical="center" wrapText="1"/>
    </xf>
    <xf numFmtId="4" fontId="12" fillId="0" borderId="0" xfId="0" applyNumberFormat="1" applyFont="1"/>
    <xf numFmtId="49" fontId="12" fillId="0" borderId="0" xfId="0" applyNumberFormat="1" applyFont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 wrapText="1"/>
    </xf>
    <xf numFmtId="0" fontId="12" fillId="0" borderId="0" xfId="0" applyFont="1" applyAlignment="1">
      <alignment horizontal="center" vertical="center"/>
    </xf>
    <xf numFmtId="4" fontId="12" fillId="0" borderId="0" xfId="0" applyNumberFormat="1" applyFont="1" applyAlignment="1">
      <alignment horizontal="center"/>
    </xf>
    <xf numFmtId="49" fontId="11" fillId="0" borderId="4" xfId="0" applyNumberFormat="1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4" fontId="11" fillId="0" borderId="3" xfId="0" applyNumberFormat="1" applyFont="1" applyBorder="1" applyAlignment="1">
      <alignment horizontal="center" vertical="center" wrapText="1"/>
    </xf>
    <xf numFmtId="49" fontId="11" fillId="5" borderId="1" xfId="0" applyNumberFormat="1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left" vertical="center" wrapText="1"/>
    </xf>
    <xf numFmtId="0" fontId="11" fillId="5" borderId="1" xfId="0" applyFont="1" applyFill="1" applyBorder="1" applyAlignment="1">
      <alignment horizontal="center" vertical="center" wrapText="1"/>
    </xf>
    <xf numFmtId="4" fontId="11" fillId="5" borderId="1" xfId="0" applyNumberFormat="1" applyFont="1" applyFill="1" applyBorder="1" applyAlignment="1">
      <alignment horizontal="center" vertical="center" wrapText="1"/>
    </xf>
    <xf numFmtId="17" fontId="11" fillId="2" borderId="5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center" vertical="center" wrapText="1"/>
    </xf>
    <xf numFmtId="164" fontId="11" fillId="2" borderId="1" xfId="0" applyNumberFormat="1" applyFont="1" applyFill="1" applyBorder="1" applyAlignment="1">
      <alignment horizontal="center" vertical="center" wrapText="1"/>
    </xf>
    <xf numFmtId="4" fontId="11" fillId="2" borderId="1" xfId="0" applyNumberFormat="1" applyFont="1" applyFill="1" applyBorder="1" applyAlignment="1">
      <alignment horizontal="center" vertical="center" wrapText="1"/>
    </xf>
    <xf numFmtId="49" fontId="11" fillId="4" borderId="5" xfId="0" applyNumberFormat="1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left" vertical="center" wrapText="1"/>
    </xf>
    <xf numFmtId="0" fontId="11" fillId="4" borderId="1" xfId="0" applyFont="1" applyFill="1" applyBorder="1" applyAlignment="1">
      <alignment horizontal="center" vertical="center" wrapText="1"/>
    </xf>
    <xf numFmtId="164" fontId="11" fillId="4" borderId="1" xfId="0" applyNumberFormat="1" applyFont="1" applyFill="1" applyBorder="1" applyAlignment="1">
      <alignment horizontal="center" vertical="center" wrapText="1"/>
    </xf>
    <xf numFmtId="4" fontId="11" fillId="4" borderId="1" xfId="0" applyNumberFormat="1" applyFont="1" applyFill="1" applyBorder="1" applyAlignment="1">
      <alignment horizontal="center" vertical="center" wrapText="1"/>
    </xf>
    <xf numFmtId="49" fontId="12" fillId="3" borderId="1" xfId="0" applyNumberFormat="1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left" vertical="center" wrapText="1"/>
    </xf>
    <xf numFmtId="0" fontId="11" fillId="3" borderId="1" xfId="0" applyFont="1" applyFill="1" applyBorder="1" applyAlignment="1">
      <alignment horizontal="center" vertical="center" wrapText="1"/>
    </xf>
    <xf numFmtId="164" fontId="11" fillId="3" borderId="1" xfId="0" applyNumberFormat="1" applyFont="1" applyFill="1" applyBorder="1" applyAlignment="1">
      <alignment horizontal="center" vertical="center" wrapText="1"/>
    </xf>
    <xf numFmtId="4" fontId="11" fillId="3" borderId="1" xfId="0" applyNumberFormat="1" applyFont="1" applyFill="1" applyBorder="1" applyAlignment="1">
      <alignment horizontal="center" vertical="center" wrapText="1"/>
    </xf>
    <xf numFmtId="49" fontId="12" fillId="2" borderId="1" xfId="0" applyNumberFormat="1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left" vertical="center" wrapText="1"/>
    </xf>
    <xf numFmtId="0" fontId="11" fillId="2" borderId="2" xfId="0" applyFont="1" applyFill="1" applyBorder="1" applyAlignment="1">
      <alignment horizontal="center" vertical="center" wrapText="1"/>
    </xf>
    <xf numFmtId="164" fontId="11" fillId="2" borderId="2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14" fillId="2" borderId="2" xfId="0" applyFont="1" applyFill="1" applyBorder="1" applyAlignment="1">
      <alignment horizontal="left" vertical="center" wrapText="1"/>
    </xf>
    <xf numFmtId="0" fontId="14" fillId="2" borderId="2" xfId="0" applyFont="1" applyFill="1" applyBorder="1" applyAlignment="1">
      <alignment horizontal="center" vertical="center" wrapText="1"/>
    </xf>
    <xf numFmtId="164" fontId="14" fillId="2" borderId="2" xfId="0" applyNumberFormat="1" applyFont="1" applyFill="1" applyBorder="1" applyAlignment="1">
      <alignment horizontal="center" vertical="center" wrapText="1"/>
    </xf>
    <xf numFmtId="4" fontId="14" fillId="2" borderId="1" xfId="0" applyNumberFormat="1" applyFont="1" applyFill="1" applyBorder="1" applyAlignment="1">
      <alignment horizontal="center" vertical="center" wrapText="1"/>
    </xf>
    <xf numFmtId="164" fontId="10" fillId="2" borderId="1" xfId="0" applyNumberFormat="1" applyFont="1" applyFill="1" applyBorder="1" applyAlignment="1">
      <alignment horizontal="center" vertical="center"/>
    </xf>
    <xf numFmtId="49" fontId="12" fillId="6" borderId="1" xfId="0" applyNumberFormat="1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left" vertical="center" wrapText="1"/>
    </xf>
    <xf numFmtId="0" fontId="11" fillId="6" borderId="1" xfId="0" applyFont="1" applyFill="1" applyBorder="1" applyAlignment="1">
      <alignment horizontal="center" vertical="center" wrapText="1"/>
    </xf>
    <xf numFmtId="164" fontId="11" fillId="6" borderId="1" xfId="0" applyNumberFormat="1" applyFont="1" applyFill="1" applyBorder="1" applyAlignment="1">
      <alignment horizontal="center" vertical="center" wrapText="1"/>
    </xf>
    <xf numFmtId="4" fontId="11" fillId="6" borderId="1" xfId="0" applyNumberFormat="1" applyFont="1" applyFill="1" applyBorder="1" applyAlignment="1">
      <alignment horizontal="center" vertical="center" wrapText="1"/>
    </xf>
    <xf numFmtId="0" fontId="10" fillId="6" borderId="0" xfId="0" applyFont="1" applyFill="1"/>
    <xf numFmtId="49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2" fontId="10" fillId="0" borderId="2" xfId="0" applyNumberFormat="1" applyFont="1" applyBorder="1" applyAlignment="1">
      <alignment horizontal="center" vertical="center"/>
    </xf>
    <xf numFmtId="4" fontId="12" fillId="6" borderId="1" xfId="0" applyNumberFormat="1" applyFont="1" applyFill="1" applyBorder="1" applyAlignment="1">
      <alignment horizontal="center" vertical="center"/>
    </xf>
    <xf numFmtId="4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49" fontId="12" fillId="0" borderId="2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2" fontId="14" fillId="0" borderId="2" xfId="0" applyNumberFormat="1" applyFont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/>
    </xf>
    <xf numFmtId="0" fontId="10" fillId="7" borderId="1" xfId="0" applyFont="1" applyFill="1" applyBorder="1" applyAlignment="1">
      <alignment horizontal="left" vertical="center" wrapText="1"/>
    </xf>
    <xf numFmtId="164" fontId="10" fillId="0" borderId="2" xfId="0" applyNumberFormat="1" applyFont="1" applyBorder="1" applyAlignment="1">
      <alignment horizontal="center" vertical="center"/>
    </xf>
    <xf numFmtId="49" fontId="10" fillId="0" borderId="2" xfId="0" applyNumberFormat="1" applyFont="1" applyBorder="1" applyAlignment="1">
      <alignment horizontal="center" vertical="center"/>
    </xf>
    <xf numFmtId="0" fontId="10" fillId="7" borderId="1" xfId="0" applyFont="1" applyFill="1" applyBorder="1" applyAlignment="1">
      <alignment vertical="center"/>
    </xf>
    <xf numFmtId="49" fontId="10" fillId="2" borderId="1" xfId="0" applyNumberFormat="1" applyFont="1" applyFill="1" applyBorder="1"/>
    <xf numFmtId="0" fontId="14" fillId="2" borderId="1" xfId="0" applyFont="1" applyFill="1" applyBorder="1" applyAlignment="1">
      <alignment horizontal="left" vertical="center" wrapText="1"/>
    </xf>
    <xf numFmtId="4" fontId="14" fillId="2" borderId="2" xfId="0" applyNumberFormat="1" applyFont="1" applyFill="1" applyBorder="1" applyAlignment="1">
      <alignment horizontal="center" vertical="center" wrapText="1"/>
    </xf>
    <xf numFmtId="4" fontId="10" fillId="2" borderId="1" xfId="0" applyNumberFormat="1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vertical="center"/>
    </xf>
    <xf numFmtId="0" fontId="12" fillId="3" borderId="6" xfId="0" applyFont="1" applyFill="1" applyBorder="1" applyAlignment="1">
      <alignment vertical="center"/>
    </xf>
    <xf numFmtId="4" fontId="12" fillId="3" borderId="1" xfId="0" applyNumberFormat="1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/>
    </xf>
    <xf numFmtId="49" fontId="16" fillId="2" borderId="1" xfId="0" applyNumberFormat="1" applyFont="1" applyFill="1" applyBorder="1" applyAlignment="1">
      <alignment horizontal="center" vertical="center"/>
    </xf>
    <xf numFmtId="0" fontId="16" fillId="2" borderId="2" xfId="0" applyFont="1" applyFill="1" applyBorder="1" applyAlignment="1">
      <alignment vertical="center"/>
    </xf>
    <xf numFmtId="0" fontId="16" fillId="2" borderId="6" xfId="0" applyFont="1" applyFill="1" applyBorder="1" applyAlignment="1">
      <alignment vertical="center"/>
    </xf>
    <xf numFmtId="0" fontId="16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/>
    </xf>
    <xf numFmtId="0" fontId="17" fillId="0" borderId="0" xfId="0" applyFont="1" applyAlignment="1">
      <alignment vertical="center" wrapText="1"/>
    </xf>
    <xf numFmtId="0" fontId="14" fillId="0" borderId="0" xfId="0" applyFont="1"/>
    <xf numFmtId="49" fontId="10" fillId="0" borderId="0" xfId="0" applyNumberFormat="1" applyFont="1" applyAlignment="1">
      <alignment horizontal="center" vertical="center"/>
    </xf>
    <xf numFmtId="0" fontId="10" fillId="0" borderId="0" xfId="8" applyFont="1" applyAlignment="1">
      <alignment vertical="center" wrapText="1"/>
    </xf>
    <xf numFmtId="0" fontId="10" fillId="0" borderId="0" xfId="0" applyFont="1" applyAlignment="1">
      <alignment horizontal="center" vertical="center"/>
    </xf>
    <xf numFmtId="4" fontId="10" fillId="0" borderId="0" xfId="0" applyNumberFormat="1" applyFont="1"/>
    <xf numFmtId="0" fontId="14" fillId="0" borderId="0" xfId="10" applyFont="1" applyAlignment="1">
      <alignment horizontal="left" vertical="top" wrapText="1"/>
    </xf>
    <xf numFmtId="0" fontId="12" fillId="3" borderId="7" xfId="0" applyFont="1" applyFill="1" applyBorder="1" applyAlignment="1">
      <alignment horizontal="right" vertical="center"/>
    </xf>
    <xf numFmtId="0" fontId="16" fillId="2" borderId="7" xfId="0" applyFont="1" applyFill="1" applyBorder="1" applyAlignment="1">
      <alignment horizontal="right" vertical="center"/>
    </xf>
    <xf numFmtId="4" fontId="12" fillId="2" borderId="1" xfId="0" applyNumberFormat="1" applyFont="1" applyFill="1" applyBorder="1" applyAlignment="1">
      <alignment horizontal="center" vertical="center"/>
    </xf>
    <xf numFmtId="4" fontId="12" fillId="2" borderId="1" xfId="0" applyNumberFormat="1" applyFont="1" applyFill="1" applyBorder="1" applyAlignment="1" applyProtection="1">
      <alignment horizontal="center" vertical="center"/>
      <protection locked="0"/>
    </xf>
  </cellXfs>
  <cellStyles count="11">
    <cellStyle name="Обычный" xfId="0" builtinId="0"/>
    <cellStyle name="Обычный 2" xfId="1" xr:uid="{00000000-0005-0000-0000-000001000000}"/>
    <cellStyle name="Обычный 2 2 2" xfId="3" xr:uid="{00000000-0005-0000-0000-000002000000}"/>
    <cellStyle name="Обычный 2 3 2" xfId="4" xr:uid="{00000000-0005-0000-0000-000003000000}"/>
    <cellStyle name="Обычный 3" xfId="2" xr:uid="{00000000-0005-0000-0000-000004000000}"/>
    <cellStyle name="Обычный 3 2 2" xfId="7" xr:uid="{00000000-0005-0000-0000-000005000000}"/>
    <cellStyle name="Обычный 3 2 2 2" xfId="8" xr:uid="{00000000-0005-0000-0000-000006000000}"/>
    <cellStyle name="Обычный 3 2 2 2 2" xfId="10" xr:uid="{48B7DD20-6AA0-4C8F-B91D-4FF2F11995C4}"/>
    <cellStyle name="Обычный 4" xfId="6" xr:uid="{00000000-0005-0000-0000-000007000000}"/>
    <cellStyle name="Обычный 5" xfId="9" xr:uid="{B7D43570-0B8B-44DE-B872-F042FEEBA57E}"/>
    <cellStyle name="Обычный 6 3 7 2 3" xfId="5" xr:uid="{00000000-0005-0000-0000-000008000000}"/>
  </cellStyles>
  <dxfs count="10"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AE78D6"/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57;&#1074;&#1077;&#1090;&#1083;&#1072;&#1085;&#1072;/AppData/Roaming/Microsoft/Excel/20-10_2017-12-&#1042;&#1050;%20&#1057;&#1087;&#1077;&#1094;&#1080;&#1092;&#1080;&#1082;&#1072;&#1094;&#1080;&#1103;%20(version%201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лист 1"/>
      <sheetName val="лист 2"/>
      <sheetName val="лист 3"/>
      <sheetName val="лист 7"/>
      <sheetName val="лист 8"/>
      <sheetName val="Тестовый"/>
      <sheetName val="Первый"/>
      <sheetName val="Второй"/>
      <sheetName val="Переменны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55"/>
  <sheetViews>
    <sheetView tabSelected="1" view="pageBreakPreview" zoomScale="55" zoomScaleNormal="70" zoomScaleSheetLayoutView="55" workbookViewId="0">
      <selection activeCell="K30" sqref="K30:K42"/>
    </sheetView>
  </sheetViews>
  <sheetFormatPr defaultColWidth="9.109375" defaultRowHeight="13.8" x14ac:dyDescent="0.3"/>
  <cols>
    <col min="1" max="1" width="13.109375" style="27" customWidth="1"/>
    <col min="2" max="2" width="104.88671875" style="28" customWidth="1"/>
    <col min="3" max="3" width="18.6640625" style="31" customWidth="1"/>
    <col min="4" max="4" width="46" style="28" customWidth="1"/>
    <col min="5" max="5" width="15.88671875" style="31" bestFit="1" customWidth="1"/>
    <col min="6" max="6" width="15.88671875" style="31" customWidth="1"/>
    <col min="7" max="7" width="15.44140625" style="39" bestFit="1" customWidth="1"/>
    <col min="8" max="8" width="17.33203125" style="119" customWidth="1"/>
    <col min="9" max="9" width="28.88671875" style="119" customWidth="1"/>
    <col min="10" max="10" width="30.33203125" style="28" customWidth="1"/>
    <col min="11" max="11" width="31.33203125" style="31" customWidth="1"/>
    <col min="12" max="16384" width="9.109375" style="31"/>
  </cols>
  <sheetData>
    <row r="1" spans="1:11" x14ac:dyDescent="0.3">
      <c r="C1" s="29"/>
      <c r="D1" s="30"/>
      <c r="F1" s="32"/>
      <c r="G1" s="31"/>
      <c r="H1" s="33"/>
      <c r="I1" s="34"/>
      <c r="J1" s="34"/>
      <c r="K1" s="35" t="s">
        <v>19</v>
      </c>
    </row>
    <row r="2" spans="1:11" x14ac:dyDescent="0.3">
      <c r="C2" s="29"/>
      <c r="D2" s="30"/>
      <c r="F2" s="32"/>
      <c r="G2" s="31"/>
      <c r="H2" s="33"/>
      <c r="I2" s="34"/>
      <c r="J2" s="34"/>
      <c r="K2" s="35" t="s">
        <v>20</v>
      </c>
    </row>
    <row r="3" spans="1:11" x14ac:dyDescent="0.3">
      <c r="C3" s="29"/>
      <c r="D3" s="30"/>
      <c r="F3" s="32"/>
      <c r="G3" s="31"/>
      <c r="H3" s="33"/>
      <c r="I3" s="34"/>
      <c r="J3" s="34"/>
    </row>
    <row r="4" spans="1:11" ht="15" customHeight="1" x14ac:dyDescent="0.3">
      <c r="B4" s="36" t="s">
        <v>21</v>
      </c>
      <c r="D4" s="30"/>
      <c r="E4" s="32" t="s">
        <v>22</v>
      </c>
      <c r="F4" s="37"/>
      <c r="G4" s="31"/>
      <c r="H4" s="33"/>
      <c r="I4" s="34"/>
      <c r="J4" s="32" t="s">
        <v>23</v>
      </c>
      <c r="K4" s="33"/>
    </row>
    <row r="5" spans="1:11" ht="19.5" customHeight="1" x14ac:dyDescent="0.3">
      <c r="B5" s="38"/>
      <c r="D5" s="30"/>
      <c r="E5" s="31" t="s">
        <v>75</v>
      </c>
      <c r="G5" s="31"/>
      <c r="H5" s="31"/>
      <c r="I5" s="39"/>
      <c r="J5" s="31" t="s">
        <v>76</v>
      </c>
      <c r="K5" s="33"/>
    </row>
    <row r="6" spans="1:11" ht="15.75" customHeight="1" x14ac:dyDescent="0.3">
      <c r="B6" s="38"/>
      <c r="D6" s="30"/>
      <c r="E6" s="28"/>
      <c r="G6" s="31"/>
      <c r="H6" s="31"/>
      <c r="I6" s="39"/>
      <c r="J6" s="31"/>
      <c r="K6" s="33"/>
    </row>
    <row r="7" spans="1:11" x14ac:dyDescent="0.3">
      <c r="B7" s="38" t="s">
        <v>56</v>
      </c>
      <c r="D7" s="30"/>
      <c r="E7" s="31" t="s">
        <v>77</v>
      </c>
      <c r="G7" s="31"/>
      <c r="H7" s="31"/>
      <c r="I7" s="39"/>
      <c r="J7" s="31" t="s">
        <v>77</v>
      </c>
      <c r="K7" s="33"/>
    </row>
    <row r="8" spans="1:11" x14ac:dyDescent="0.3">
      <c r="B8" s="38"/>
      <c r="D8" s="30"/>
      <c r="G8" s="31"/>
      <c r="H8" s="31"/>
      <c r="I8" s="39"/>
      <c r="J8" s="31"/>
      <c r="K8" s="33"/>
    </row>
    <row r="9" spans="1:11" s="41" customFormat="1" ht="19.5" customHeight="1" x14ac:dyDescent="0.3">
      <c r="A9" s="40"/>
      <c r="D9" s="42"/>
      <c r="E9" s="43" t="s">
        <v>78</v>
      </c>
      <c r="F9" s="44"/>
      <c r="G9" s="44"/>
      <c r="J9" s="42"/>
    </row>
    <row r="10" spans="1:11" s="41" customFormat="1" ht="19.5" customHeight="1" x14ac:dyDescent="0.3">
      <c r="A10" s="40"/>
      <c r="D10" s="42"/>
      <c r="E10" s="43" t="s">
        <v>68</v>
      </c>
      <c r="F10" s="44"/>
      <c r="G10" s="44"/>
      <c r="J10" s="42"/>
    </row>
    <row r="12" spans="1:11" ht="26.25" customHeight="1" x14ac:dyDescent="0.3">
      <c r="A12" s="45" t="s">
        <v>0</v>
      </c>
      <c r="B12" s="46" t="s">
        <v>1</v>
      </c>
      <c r="C12" s="46" t="s">
        <v>16</v>
      </c>
      <c r="D12" s="46" t="s">
        <v>17</v>
      </c>
      <c r="E12" s="46" t="s">
        <v>9</v>
      </c>
      <c r="F12" s="46" t="s">
        <v>69</v>
      </c>
      <c r="G12" s="47" t="s">
        <v>2</v>
      </c>
      <c r="H12" s="47" t="s">
        <v>6</v>
      </c>
      <c r="I12" s="47" t="s">
        <v>7</v>
      </c>
      <c r="J12" s="47" t="s">
        <v>8</v>
      </c>
      <c r="K12" s="47" t="s">
        <v>24</v>
      </c>
    </row>
    <row r="13" spans="1:11" x14ac:dyDescent="0.3">
      <c r="A13" s="48">
        <v>11</v>
      </c>
      <c r="B13" s="49" t="s">
        <v>10</v>
      </c>
      <c r="C13" s="50"/>
      <c r="D13" s="50"/>
      <c r="E13" s="50"/>
      <c r="F13" s="50"/>
      <c r="G13" s="51"/>
      <c r="H13" s="51"/>
      <c r="I13" s="51"/>
      <c r="J13" s="51"/>
      <c r="K13" s="51"/>
    </row>
    <row r="14" spans="1:11" ht="19.5" customHeight="1" x14ac:dyDescent="0.3">
      <c r="A14" s="52" t="s">
        <v>33</v>
      </c>
      <c r="B14" s="53" t="s">
        <v>34</v>
      </c>
      <c r="C14" s="53"/>
      <c r="D14" s="53"/>
      <c r="E14" s="54"/>
      <c r="F14" s="55"/>
      <c r="G14" s="55"/>
      <c r="H14" s="55"/>
      <c r="I14" s="55"/>
      <c r="J14" s="55"/>
      <c r="K14" s="56"/>
    </row>
    <row r="15" spans="1:11" ht="19.5" customHeight="1" x14ac:dyDescent="0.3">
      <c r="A15" s="57" t="s">
        <v>35</v>
      </c>
      <c r="B15" s="58" t="s">
        <v>13</v>
      </c>
      <c r="C15" s="58"/>
      <c r="D15" s="58"/>
      <c r="E15" s="59"/>
      <c r="F15" s="60"/>
      <c r="G15" s="60"/>
      <c r="H15" s="60"/>
      <c r="I15" s="60"/>
      <c r="J15" s="60"/>
      <c r="K15" s="61"/>
    </row>
    <row r="16" spans="1:11" ht="19.5" customHeight="1" x14ac:dyDescent="0.3">
      <c r="A16" s="62" t="s">
        <v>36</v>
      </c>
      <c r="B16" s="63" t="s">
        <v>13</v>
      </c>
      <c r="C16" s="63"/>
      <c r="D16" s="63"/>
      <c r="E16" s="64"/>
      <c r="F16" s="65"/>
      <c r="G16" s="65"/>
      <c r="H16" s="65"/>
      <c r="I16" s="65">
        <f>I17+I19</f>
        <v>0</v>
      </c>
      <c r="J16" s="65"/>
      <c r="K16" s="66"/>
    </row>
    <row r="17" spans="1:11" x14ac:dyDescent="0.3">
      <c r="A17" s="67"/>
      <c r="B17" s="53" t="s">
        <v>11</v>
      </c>
      <c r="C17" s="68"/>
      <c r="D17" s="68"/>
      <c r="E17" s="69"/>
      <c r="F17" s="70"/>
      <c r="G17" s="55"/>
      <c r="H17" s="55"/>
      <c r="I17" s="55">
        <f>SUM(I18:I18)</f>
        <v>0</v>
      </c>
      <c r="J17" s="55"/>
      <c r="K17" s="56"/>
    </row>
    <row r="18" spans="1:11" ht="20.25" customHeight="1" x14ac:dyDescent="0.3">
      <c r="A18" s="67"/>
      <c r="B18" s="71" t="s">
        <v>79</v>
      </c>
      <c r="C18" s="72"/>
      <c r="D18" s="72"/>
      <c r="E18" s="73" t="s">
        <v>4</v>
      </c>
      <c r="F18" s="74">
        <v>1</v>
      </c>
      <c r="G18" s="55">
        <f>SUM(F18:F18)</f>
        <v>1</v>
      </c>
      <c r="H18" s="75">
        <f>VLOOKUP(B18,СМР!$B$3:$F$4,5,0)</f>
        <v>0</v>
      </c>
      <c r="I18" s="76">
        <f>H18*G18</f>
        <v>0</v>
      </c>
      <c r="J18" s="55"/>
      <c r="K18" s="56"/>
    </row>
    <row r="19" spans="1:11" s="82" customFormat="1" ht="23.25" customHeight="1" x14ac:dyDescent="0.3">
      <c r="A19" s="77"/>
      <c r="B19" s="78" t="s">
        <v>12</v>
      </c>
      <c r="C19" s="78"/>
      <c r="D19" s="78"/>
      <c r="E19" s="79"/>
      <c r="F19" s="80"/>
      <c r="G19" s="80"/>
      <c r="H19" s="80"/>
      <c r="I19" s="80">
        <f>SUM(I20:I29)</f>
        <v>0</v>
      </c>
      <c r="J19" s="80"/>
      <c r="K19" s="81"/>
    </row>
    <row r="20" spans="1:11" s="29" customFormat="1" ht="35.25" customHeight="1" x14ac:dyDescent="0.3">
      <c r="A20" s="83"/>
      <c r="B20" s="84" t="s">
        <v>25</v>
      </c>
      <c r="C20" s="85" t="s">
        <v>26</v>
      </c>
      <c r="D20" s="86" t="s">
        <v>57</v>
      </c>
      <c r="E20" s="85" t="s">
        <v>3</v>
      </c>
      <c r="F20" s="87">
        <v>154</v>
      </c>
      <c r="G20" s="88">
        <f t="shared" ref="G20:G28" si="0">SUM(F20:F20)</f>
        <v>154</v>
      </c>
      <c r="H20" s="89">
        <f>VLOOKUP(B20,ТМЦ!$B$3:$I$24,6,0)</f>
        <v>0</v>
      </c>
      <c r="I20" s="89">
        <f t="shared" ref="I20" si="1">H20*G20</f>
        <v>0</v>
      </c>
      <c r="J20" s="90"/>
      <c r="K20" s="89">
        <f>VLOOKUP(B20,ТМЦ!$B$3:$J$24,9,0)</f>
        <v>0</v>
      </c>
    </row>
    <row r="21" spans="1:11" s="29" customFormat="1" ht="35.25" customHeight="1" x14ac:dyDescent="0.3">
      <c r="A21" s="83"/>
      <c r="B21" s="84" t="s">
        <v>37</v>
      </c>
      <c r="C21" s="85" t="s">
        <v>26</v>
      </c>
      <c r="D21" s="86" t="s">
        <v>58</v>
      </c>
      <c r="E21" s="85" t="s">
        <v>3</v>
      </c>
      <c r="F21" s="87">
        <f>F20*2</f>
        <v>308</v>
      </c>
      <c r="G21" s="88">
        <f t="shared" si="0"/>
        <v>308</v>
      </c>
      <c r="H21" s="89">
        <f>VLOOKUP(B21,ТМЦ!$B$3:$I$24,6,0)</f>
        <v>0</v>
      </c>
      <c r="I21" s="89">
        <f t="shared" ref="I21:I42" si="2">H21*G21</f>
        <v>0</v>
      </c>
      <c r="J21" s="90"/>
      <c r="K21" s="89">
        <f>VLOOKUP(B21,ТМЦ!$B$3:$J$24,9,0)</f>
        <v>0</v>
      </c>
    </row>
    <row r="22" spans="1:11" s="29" customFormat="1" ht="35.25" customHeight="1" x14ac:dyDescent="0.3">
      <c r="A22" s="83"/>
      <c r="B22" s="84" t="s">
        <v>49</v>
      </c>
      <c r="C22" s="85" t="s">
        <v>26</v>
      </c>
      <c r="D22" s="86" t="s">
        <v>50</v>
      </c>
      <c r="E22" s="85" t="s">
        <v>3</v>
      </c>
      <c r="F22" s="87">
        <f>F20</f>
        <v>154</v>
      </c>
      <c r="G22" s="88">
        <f t="shared" si="0"/>
        <v>154</v>
      </c>
      <c r="H22" s="89">
        <f>VLOOKUP(B22,ТМЦ!$B$3:$I$24,6,0)</f>
        <v>0</v>
      </c>
      <c r="I22" s="89">
        <f t="shared" si="2"/>
        <v>0</v>
      </c>
      <c r="J22" s="90"/>
      <c r="K22" s="89">
        <f>VLOOKUP(B22,ТМЦ!$B$3:$J$24,9,0)</f>
        <v>0</v>
      </c>
    </row>
    <row r="23" spans="1:11" s="29" customFormat="1" ht="35.25" customHeight="1" x14ac:dyDescent="0.3">
      <c r="A23" s="83"/>
      <c r="B23" s="84" t="s">
        <v>64</v>
      </c>
      <c r="C23" s="85" t="s">
        <v>26</v>
      </c>
      <c r="D23" s="86"/>
      <c r="E23" s="85" t="s">
        <v>3</v>
      </c>
      <c r="F23" s="87">
        <f>F20</f>
        <v>154</v>
      </c>
      <c r="G23" s="88">
        <f t="shared" si="0"/>
        <v>154</v>
      </c>
      <c r="H23" s="89">
        <f>VLOOKUP(B23,ТМЦ!$B$3:$I$24,6,0)</f>
        <v>0</v>
      </c>
      <c r="I23" s="89">
        <f t="shared" ref="I23" si="3">H23*G23</f>
        <v>0</v>
      </c>
      <c r="J23" s="90"/>
      <c r="K23" s="89">
        <f>VLOOKUP(B23,ТМЦ!$B$3:$J$24,9,0)</f>
        <v>0</v>
      </c>
    </row>
    <row r="24" spans="1:11" ht="35.25" customHeight="1" x14ac:dyDescent="0.3">
      <c r="A24" s="92"/>
      <c r="B24" s="93" t="s">
        <v>47</v>
      </c>
      <c r="C24" s="85"/>
      <c r="D24" s="86"/>
      <c r="E24" s="91" t="s">
        <v>3</v>
      </c>
      <c r="F24" s="94">
        <f>F20</f>
        <v>154</v>
      </c>
      <c r="G24" s="88">
        <f t="shared" si="0"/>
        <v>154</v>
      </c>
      <c r="H24" s="89">
        <f>VLOOKUP(B24,ТМЦ!$B$3:$I$24,6,0)</f>
        <v>0</v>
      </c>
      <c r="I24" s="89">
        <f>H24*G24</f>
        <v>0</v>
      </c>
      <c r="J24" s="90"/>
      <c r="K24" s="89">
        <f>VLOOKUP(B24,ТМЦ!$B$3:$J$24,9,0)</f>
        <v>0</v>
      </c>
    </row>
    <row r="25" spans="1:11" s="29" customFormat="1" ht="24" customHeight="1" x14ac:dyDescent="0.3">
      <c r="A25" s="83"/>
      <c r="B25" s="84" t="s">
        <v>38</v>
      </c>
      <c r="C25" s="85"/>
      <c r="D25" s="86" t="s">
        <v>51</v>
      </c>
      <c r="E25" s="85" t="s">
        <v>48</v>
      </c>
      <c r="F25" s="87">
        <v>1078</v>
      </c>
      <c r="G25" s="88">
        <f t="shared" si="0"/>
        <v>1078</v>
      </c>
      <c r="H25" s="89">
        <f>VLOOKUP(B25,ТМЦ!$B$3:$I$24,6,0)</f>
        <v>0</v>
      </c>
      <c r="I25" s="89">
        <f t="shared" si="2"/>
        <v>0</v>
      </c>
      <c r="J25" s="90"/>
      <c r="K25" s="89">
        <f>VLOOKUP(B25,ТМЦ!$B$3:$J$24,9,0)</f>
        <v>0</v>
      </c>
    </row>
    <row r="26" spans="1:11" s="29" customFormat="1" ht="24" customHeight="1" x14ac:dyDescent="0.3">
      <c r="A26" s="83"/>
      <c r="B26" s="84" t="s">
        <v>60</v>
      </c>
      <c r="C26" s="85"/>
      <c r="D26" s="86" t="s">
        <v>54</v>
      </c>
      <c r="E26" s="85" t="s">
        <v>48</v>
      </c>
      <c r="F26" s="87">
        <v>3080</v>
      </c>
      <c r="G26" s="88">
        <f t="shared" si="0"/>
        <v>3080</v>
      </c>
      <c r="H26" s="89">
        <f>VLOOKUP(B26,ТМЦ!$B$3:$I$24,6,0)</f>
        <v>0</v>
      </c>
      <c r="I26" s="89">
        <f>H26*G26</f>
        <v>0</v>
      </c>
      <c r="J26" s="90"/>
      <c r="K26" s="89">
        <f>VLOOKUP(B26,ТМЦ!$B$3:$J$24,9,0)</f>
        <v>0</v>
      </c>
    </row>
    <row r="27" spans="1:11" s="29" customFormat="1" ht="24" customHeight="1" x14ac:dyDescent="0.3">
      <c r="A27" s="83"/>
      <c r="B27" s="84" t="s">
        <v>61</v>
      </c>
      <c r="C27" s="85"/>
      <c r="D27" s="86" t="s">
        <v>62</v>
      </c>
      <c r="E27" s="85" t="s">
        <v>48</v>
      </c>
      <c r="F27" s="87">
        <v>1040</v>
      </c>
      <c r="G27" s="88">
        <f t="shared" si="0"/>
        <v>1040</v>
      </c>
      <c r="H27" s="89">
        <f>VLOOKUP(B27,ТМЦ!$B$3:$I$24,6,0)</f>
        <v>0</v>
      </c>
      <c r="I27" s="89">
        <f>H27*G27</f>
        <v>0</v>
      </c>
      <c r="J27" s="90"/>
      <c r="K27" s="89">
        <f>VLOOKUP(B27,ТМЦ!$B$3:$J$24,9,0)</f>
        <v>0</v>
      </c>
    </row>
    <row r="28" spans="1:11" s="29" customFormat="1" ht="37.5" customHeight="1" x14ac:dyDescent="0.3">
      <c r="A28" s="83"/>
      <c r="B28" s="84" t="s">
        <v>52</v>
      </c>
      <c r="C28" s="85"/>
      <c r="D28" s="86" t="s">
        <v>53</v>
      </c>
      <c r="E28" s="85" t="s">
        <v>48</v>
      </c>
      <c r="F28" s="87">
        <v>3658</v>
      </c>
      <c r="G28" s="88">
        <f t="shared" si="0"/>
        <v>3658</v>
      </c>
      <c r="H28" s="89">
        <f>VLOOKUP(B28,ТМЦ!$B$3:$I$24,6,0)</f>
        <v>0</v>
      </c>
      <c r="I28" s="89">
        <f t="shared" si="2"/>
        <v>0</v>
      </c>
      <c r="J28" s="90"/>
      <c r="K28" s="89">
        <f>VLOOKUP(B28,ТМЦ!$B$3:$J$24,9,0)</f>
        <v>0</v>
      </c>
    </row>
    <row r="29" spans="1:11" s="29" customFormat="1" ht="137.25" customHeight="1" x14ac:dyDescent="0.3">
      <c r="A29" s="83"/>
      <c r="B29" s="84" t="s">
        <v>81</v>
      </c>
      <c r="C29" s="85"/>
      <c r="D29" s="86"/>
      <c r="E29" s="85" t="s">
        <v>55</v>
      </c>
      <c r="F29" s="87"/>
      <c r="G29" s="88" t="e">
        <f>I29*100/I17</f>
        <v>#DIV/0!</v>
      </c>
      <c r="H29" s="89"/>
      <c r="I29" s="95">
        <f>SUM(I30:I42)</f>
        <v>0</v>
      </c>
      <c r="J29" s="90"/>
      <c r="K29" s="91"/>
    </row>
    <row r="30" spans="1:11" s="29" customFormat="1" ht="22.5" customHeight="1" x14ac:dyDescent="0.3">
      <c r="A30" s="83"/>
      <c r="B30" s="96" t="s">
        <v>63</v>
      </c>
      <c r="C30" s="85"/>
      <c r="D30" s="86"/>
      <c r="E30" s="85" t="s">
        <v>3</v>
      </c>
      <c r="F30" s="97">
        <f>F20</f>
        <v>154</v>
      </c>
      <c r="G30" s="88">
        <f t="shared" ref="G30:G42" si="4">SUM(F30:F30)</f>
        <v>154</v>
      </c>
      <c r="H30" s="89">
        <f>VLOOKUP(B30,ТМЦ!$B$3:$I$24,6,0)</f>
        <v>0</v>
      </c>
      <c r="I30" s="89">
        <f>H30*G30</f>
        <v>0</v>
      </c>
      <c r="J30" s="90"/>
      <c r="K30" s="89">
        <f>VLOOKUP(B30,ТМЦ!$B$3:$J$24,9,0)</f>
        <v>0</v>
      </c>
    </row>
    <row r="31" spans="1:11" s="29" customFormat="1" ht="22.5" customHeight="1" x14ac:dyDescent="0.3">
      <c r="A31" s="83"/>
      <c r="B31" s="96" t="s">
        <v>39</v>
      </c>
      <c r="C31" s="85"/>
      <c r="D31" s="86"/>
      <c r="E31" s="85" t="s">
        <v>3</v>
      </c>
      <c r="F31" s="87">
        <v>616</v>
      </c>
      <c r="G31" s="88">
        <f t="shared" si="4"/>
        <v>616</v>
      </c>
      <c r="H31" s="89">
        <f>VLOOKUP(B31,ТМЦ!$B$3:$I$24,6,0)</f>
        <v>0</v>
      </c>
      <c r="I31" s="89">
        <f>H31*G31</f>
        <v>0</v>
      </c>
      <c r="J31" s="90"/>
      <c r="K31" s="89">
        <f>VLOOKUP(B31,ТМЦ!$B$3:$J$24,9,0)</f>
        <v>0</v>
      </c>
    </row>
    <row r="32" spans="1:11" s="29" customFormat="1" ht="22.5" customHeight="1" x14ac:dyDescent="0.3">
      <c r="A32" s="83"/>
      <c r="B32" s="96" t="s">
        <v>40</v>
      </c>
      <c r="C32" s="85"/>
      <c r="D32" s="86"/>
      <c r="E32" s="85" t="s">
        <v>48</v>
      </c>
      <c r="F32" s="87">
        <v>914</v>
      </c>
      <c r="G32" s="88">
        <f t="shared" si="4"/>
        <v>914</v>
      </c>
      <c r="H32" s="89">
        <f>VLOOKUP(B32,ТМЦ!$B$3:$I$24,6,0)</f>
        <v>0</v>
      </c>
      <c r="I32" s="89">
        <f t="shared" si="2"/>
        <v>0</v>
      </c>
      <c r="J32" s="90"/>
      <c r="K32" s="89">
        <f>VLOOKUP(B32,ТМЦ!$B$3:$J$24,9,0)</f>
        <v>0</v>
      </c>
    </row>
    <row r="33" spans="1:11" s="29" customFormat="1" ht="22.5" customHeight="1" x14ac:dyDescent="0.3">
      <c r="A33" s="83"/>
      <c r="B33" s="96" t="s">
        <v>41</v>
      </c>
      <c r="C33" s="85"/>
      <c r="D33" s="86"/>
      <c r="E33" s="85" t="s">
        <v>3</v>
      </c>
      <c r="F33" s="87">
        <v>3850</v>
      </c>
      <c r="G33" s="88">
        <f t="shared" si="4"/>
        <v>3850</v>
      </c>
      <c r="H33" s="89">
        <f>VLOOKUP(B33,ТМЦ!$B$3:$I$24,6,0)</f>
        <v>0</v>
      </c>
      <c r="I33" s="89">
        <f t="shared" si="2"/>
        <v>0</v>
      </c>
      <c r="J33" s="90"/>
      <c r="K33" s="89">
        <f>VLOOKUP(B33,ТМЦ!$B$3:$J$24,9,0)</f>
        <v>0</v>
      </c>
    </row>
    <row r="34" spans="1:11" s="29" customFormat="1" ht="22.5" customHeight="1" x14ac:dyDescent="0.3">
      <c r="A34" s="83"/>
      <c r="B34" s="96" t="s">
        <v>65</v>
      </c>
      <c r="C34" s="85"/>
      <c r="D34" s="86"/>
      <c r="E34" s="85" t="s">
        <v>3</v>
      </c>
      <c r="F34" s="87">
        <v>924</v>
      </c>
      <c r="G34" s="88">
        <f t="shared" si="4"/>
        <v>924</v>
      </c>
      <c r="H34" s="89">
        <f>VLOOKUP(B34,ТМЦ!$B$3:$I$24,6,0)</f>
        <v>0</v>
      </c>
      <c r="I34" s="89">
        <f t="shared" si="2"/>
        <v>0</v>
      </c>
      <c r="J34" s="90"/>
      <c r="K34" s="89">
        <f>VLOOKUP(B34,ТМЦ!$B$3:$J$24,9,0)</f>
        <v>0</v>
      </c>
    </row>
    <row r="35" spans="1:11" s="29" customFormat="1" ht="22.5" customHeight="1" x14ac:dyDescent="0.3">
      <c r="A35" s="83"/>
      <c r="B35" s="96" t="s">
        <v>66</v>
      </c>
      <c r="C35" s="85"/>
      <c r="D35" s="86"/>
      <c r="E35" s="85" t="s">
        <v>3</v>
      </c>
      <c r="F35" s="87">
        <v>154</v>
      </c>
      <c r="G35" s="88">
        <f t="shared" si="4"/>
        <v>154</v>
      </c>
      <c r="H35" s="89">
        <f>VLOOKUP(B35,ТМЦ!$B$3:$I$24,6,0)</f>
        <v>0</v>
      </c>
      <c r="I35" s="89">
        <f t="shared" ref="I35" si="5">H35*G35</f>
        <v>0</v>
      </c>
      <c r="J35" s="90"/>
      <c r="K35" s="89">
        <f>VLOOKUP(B35,ТМЦ!$B$3:$J$24,9,0)</f>
        <v>0</v>
      </c>
    </row>
    <row r="36" spans="1:11" s="29" customFormat="1" ht="22.5" customHeight="1" x14ac:dyDescent="0.3">
      <c r="A36" s="83"/>
      <c r="B36" s="96" t="s">
        <v>67</v>
      </c>
      <c r="C36" s="85"/>
      <c r="D36" s="86"/>
      <c r="E36" s="85" t="s">
        <v>3</v>
      </c>
      <c r="F36" s="87">
        <v>80</v>
      </c>
      <c r="G36" s="88">
        <f t="shared" si="4"/>
        <v>80</v>
      </c>
      <c r="H36" s="89">
        <f>VLOOKUP(B36,ТМЦ!$B$3:$I$24,6,0)</f>
        <v>0</v>
      </c>
      <c r="I36" s="89">
        <f t="shared" ref="I36" si="6">H36*G36</f>
        <v>0</v>
      </c>
      <c r="J36" s="90"/>
      <c r="K36" s="89">
        <f>VLOOKUP(B36,ТМЦ!$B$3:$J$24,9,0)</f>
        <v>0</v>
      </c>
    </row>
    <row r="37" spans="1:11" s="29" customFormat="1" ht="22.5" customHeight="1" x14ac:dyDescent="0.3">
      <c r="A37" s="83"/>
      <c r="B37" s="96" t="s">
        <v>59</v>
      </c>
      <c r="C37" s="85"/>
      <c r="D37" s="86"/>
      <c r="E37" s="85" t="s">
        <v>3</v>
      </c>
      <c r="F37" s="87">
        <v>40</v>
      </c>
      <c r="G37" s="88">
        <f t="shared" si="4"/>
        <v>40</v>
      </c>
      <c r="H37" s="89">
        <f>VLOOKUP(B37,ТМЦ!$B$3:$I$24,6,0)</f>
        <v>0</v>
      </c>
      <c r="I37" s="89">
        <f t="shared" si="2"/>
        <v>0</v>
      </c>
      <c r="J37" s="90"/>
      <c r="K37" s="89">
        <f>VLOOKUP(B37,ТМЦ!$B$3:$J$24,9,0)</f>
        <v>0</v>
      </c>
    </row>
    <row r="38" spans="1:11" s="29" customFormat="1" ht="22.5" customHeight="1" x14ac:dyDescent="0.3">
      <c r="A38" s="83"/>
      <c r="B38" s="96" t="s">
        <v>42</v>
      </c>
      <c r="C38" s="85"/>
      <c r="D38" s="86"/>
      <c r="E38" s="85" t="s">
        <v>3</v>
      </c>
      <c r="F38" s="87">
        <v>40</v>
      </c>
      <c r="G38" s="88">
        <f t="shared" si="4"/>
        <v>40</v>
      </c>
      <c r="H38" s="89">
        <f>VLOOKUP(B38,ТМЦ!$B$3:$I$24,6,0)</f>
        <v>0</v>
      </c>
      <c r="I38" s="89">
        <f t="shared" si="2"/>
        <v>0</v>
      </c>
      <c r="J38" s="90"/>
      <c r="K38" s="89">
        <f>VLOOKUP(B38,ТМЦ!$B$3:$J$24,9,0)</f>
        <v>0</v>
      </c>
    </row>
    <row r="39" spans="1:11" s="29" customFormat="1" ht="22.5" customHeight="1" x14ac:dyDescent="0.3">
      <c r="A39" s="98"/>
      <c r="B39" s="96" t="s">
        <v>43</v>
      </c>
      <c r="C39" s="85"/>
      <c r="D39" s="86"/>
      <c r="E39" s="85" t="s">
        <v>3</v>
      </c>
      <c r="F39" s="87">
        <v>462</v>
      </c>
      <c r="G39" s="88">
        <f t="shared" si="4"/>
        <v>462</v>
      </c>
      <c r="H39" s="89">
        <f>VLOOKUP(B39,ТМЦ!$B$3:$I$24,6,0)</f>
        <v>0</v>
      </c>
      <c r="I39" s="89">
        <f t="shared" si="2"/>
        <v>0</v>
      </c>
      <c r="J39" s="90"/>
      <c r="K39" s="89">
        <f>VLOOKUP(B39,ТМЦ!$B$3:$J$24,9,0)</f>
        <v>0</v>
      </c>
    </row>
    <row r="40" spans="1:11" ht="22.5" customHeight="1" x14ac:dyDescent="0.3">
      <c r="A40" s="92"/>
      <c r="B40" s="99" t="s">
        <v>44</v>
      </c>
      <c r="C40" s="85"/>
      <c r="D40" s="86"/>
      <c r="E40" s="91" t="s">
        <v>3</v>
      </c>
      <c r="F40" s="94">
        <v>502</v>
      </c>
      <c r="G40" s="88">
        <f t="shared" si="4"/>
        <v>502</v>
      </c>
      <c r="H40" s="89">
        <f>VLOOKUP(B40,ТМЦ!$B$3:$I$24,6,0)</f>
        <v>0</v>
      </c>
      <c r="I40" s="89">
        <f t="shared" si="2"/>
        <v>0</v>
      </c>
      <c r="J40" s="90"/>
      <c r="K40" s="89">
        <f>VLOOKUP(B40,ТМЦ!$B$3:$J$24,9,0)</f>
        <v>0</v>
      </c>
    </row>
    <row r="41" spans="1:11" ht="22.5" customHeight="1" x14ac:dyDescent="0.3">
      <c r="A41" s="92"/>
      <c r="B41" s="99" t="s">
        <v>45</v>
      </c>
      <c r="C41" s="85"/>
      <c r="D41" s="86"/>
      <c r="E41" s="91" t="s">
        <v>3</v>
      </c>
      <c r="F41" s="87">
        <v>40</v>
      </c>
      <c r="G41" s="88">
        <f t="shared" si="4"/>
        <v>40</v>
      </c>
      <c r="H41" s="89">
        <f>VLOOKUP(B41,ТМЦ!$B$3:$I$24,6,0)</f>
        <v>0</v>
      </c>
      <c r="I41" s="89">
        <f t="shared" si="2"/>
        <v>0</v>
      </c>
      <c r="J41" s="90"/>
      <c r="K41" s="89">
        <f>VLOOKUP(B41,ТМЦ!$B$3:$J$24,9,0)</f>
        <v>0</v>
      </c>
    </row>
    <row r="42" spans="1:11" ht="24.75" customHeight="1" x14ac:dyDescent="0.3">
      <c r="A42" s="92"/>
      <c r="B42" s="99" t="s">
        <v>46</v>
      </c>
      <c r="C42" s="85"/>
      <c r="D42" s="86"/>
      <c r="E42" s="91" t="s">
        <v>3</v>
      </c>
      <c r="F42" s="94">
        <v>1</v>
      </c>
      <c r="G42" s="88">
        <f t="shared" si="4"/>
        <v>1</v>
      </c>
      <c r="H42" s="89">
        <f>VLOOKUP(B42,ТМЦ!$B$3:$I$24,6,0)</f>
        <v>0</v>
      </c>
      <c r="I42" s="89">
        <f t="shared" si="2"/>
        <v>0</v>
      </c>
      <c r="J42" s="90"/>
      <c r="K42" s="89">
        <f>VLOOKUP(B42,ТМЦ!$B$3:$J$24,9,0)</f>
        <v>0</v>
      </c>
    </row>
    <row r="43" spans="1:11" ht="21" customHeight="1" x14ac:dyDescent="0.3">
      <c r="A43" s="57" t="s">
        <v>27</v>
      </c>
      <c r="B43" s="58" t="s">
        <v>5</v>
      </c>
      <c r="C43" s="59"/>
      <c r="D43" s="59"/>
      <c r="E43" s="59"/>
      <c r="F43" s="59"/>
      <c r="G43" s="61"/>
      <c r="H43" s="61"/>
      <c r="I43" s="61"/>
      <c r="J43" s="61"/>
      <c r="K43" s="61"/>
    </row>
    <row r="44" spans="1:11" ht="21" customHeight="1" x14ac:dyDescent="0.3">
      <c r="A44" s="62" t="s">
        <v>28</v>
      </c>
      <c r="B44" s="63" t="s">
        <v>5</v>
      </c>
      <c r="C44" s="64"/>
      <c r="D44" s="64"/>
      <c r="E44" s="64"/>
      <c r="F44" s="64"/>
      <c r="G44" s="66"/>
      <c r="H44" s="66"/>
      <c r="I44" s="66">
        <f>I45</f>
        <v>0</v>
      </c>
      <c r="J44" s="66"/>
      <c r="K44" s="66"/>
    </row>
    <row r="45" spans="1:11" ht="21" customHeight="1" x14ac:dyDescent="0.3">
      <c r="A45" s="100"/>
      <c r="B45" s="53" t="s">
        <v>11</v>
      </c>
      <c r="C45" s="69"/>
      <c r="D45" s="69"/>
      <c r="E45" s="69"/>
      <c r="F45" s="69"/>
      <c r="G45" s="56"/>
      <c r="H45" s="56"/>
      <c r="I45" s="56">
        <f>SUM(I46:I46)</f>
        <v>0</v>
      </c>
      <c r="J45" s="56"/>
      <c r="K45" s="56"/>
    </row>
    <row r="46" spans="1:11" ht="21" customHeight="1" x14ac:dyDescent="0.3">
      <c r="A46" s="100"/>
      <c r="B46" s="101" t="s">
        <v>80</v>
      </c>
      <c r="C46" s="73"/>
      <c r="D46" s="73"/>
      <c r="E46" s="73" t="s">
        <v>4</v>
      </c>
      <c r="F46" s="102">
        <v>1</v>
      </c>
      <c r="G46" s="56">
        <f>SUM(F46:F46)</f>
        <v>1</v>
      </c>
      <c r="H46" s="75">
        <f>VLOOKUP(B46,СМР!$B$3:$F$4,5,0)</f>
        <v>0</v>
      </c>
      <c r="I46" s="103">
        <f t="shared" ref="I46" si="7">H46*G46</f>
        <v>0</v>
      </c>
      <c r="J46" s="75"/>
      <c r="K46" s="56"/>
    </row>
    <row r="47" spans="1:11" x14ac:dyDescent="0.3">
      <c r="A47" s="62"/>
      <c r="B47" s="104"/>
      <c r="C47" s="105"/>
      <c r="D47" s="105"/>
      <c r="E47" s="105"/>
      <c r="F47" s="105"/>
      <c r="G47" s="105"/>
      <c r="H47" s="121" t="s">
        <v>82</v>
      </c>
      <c r="I47" s="106">
        <f>I16+I44</f>
        <v>0</v>
      </c>
      <c r="J47" s="107"/>
      <c r="K47" s="108"/>
    </row>
    <row r="48" spans="1:11" x14ac:dyDescent="0.3">
      <c r="A48" s="109"/>
      <c r="B48" s="110"/>
      <c r="C48" s="111"/>
      <c r="D48" s="111"/>
      <c r="E48" s="111"/>
      <c r="F48" s="111"/>
      <c r="G48" s="111"/>
      <c r="H48" s="122" t="s">
        <v>14</v>
      </c>
      <c r="I48" s="123">
        <f>SUMIF($B$13:$B$46,"Работа:",I$13:I$46)</f>
        <v>0</v>
      </c>
      <c r="J48" s="112"/>
      <c r="K48" s="113"/>
    </row>
    <row r="49" spans="1:14" x14ac:dyDescent="0.3">
      <c r="A49" s="109"/>
      <c r="B49" s="110"/>
      <c r="C49" s="111"/>
      <c r="D49" s="111"/>
      <c r="E49" s="111"/>
      <c r="F49" s="111"/>
      <c r="G49" s="111"/>
      <c r="H49" s="122" t="s">
        <v>15</v>
      </c>
      <c r="I49" s="123">
        <f>SUMIF($B$13:$B$46,"Материалы:",I$13:I$46)</f>
        <v>0</v>
      </c>
      <c r="J49" s="112"/>
      <c r="K49" s="113"/>
    </row>
    <row r="50" spans="1:14" x14ac:dyDescent="0.3">
      <c r="A50" s="109"/>
      <c r="B50" s="110"/>
      <c r="C50" s="111"/>
      <c r="D50" s="111"/>
      <c r="E50" s="111"/>
      <c r="F50" s="111"/>
      <c r="G50" s="111"/>
      <c r="H50" s="122" t="s">
        <v>83</v>
      </c>
      <c r="I50" s="124">
        <f>I47*22/122</f>
        <v>0</v>
      </c>
      <c r="J50" s="112"/>
      <c r="K50" s="112"/>
    </row>
    <row r="51" spans="1:14" x14ac:dyDescent="0.3">
      <c r="D51" s="31"/>
      <c r="F51" s="34"/>
      <c r="G51" s="34"/>
      <c r="H51" s="34"/>
      <c r="I51" s="34"/>
      <c r="J51" s="33"/>
      <c r="K51" s="34"/>
      <c r="L51" s="34"/>
    </row>
    <row r="52" spans="1:14" s="115" customFormat="1" x14ac:dyDescent="0.3">
      <c r="A52" s="31"/>
      <c r="B52" s="114" t="s">
        <v>29</v>
      </c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</row>
    <row r="53" spans="1:14" s="115" customFormat="1" ht="29.25" customHeight="1" x14ac:dyDescent="0.3">
      <c r="A53" s="116" t="s">
        <v>18</v>
      </c>
      <c r="B53" s="117" t="s">
        <v>30</v>
      </c>
      <c r="C53" s="117"/>
      <c r="D53" s="117"/>
      <c r="E53" s="117"/>
      <c r="F53" s="117"/>
      <c r="G53" s="117"/>
      <c r="H53" s="117"/>
      <c r="I53" s="117"/>
      <c r="J53" s="117"/>
      <c r="K53" s="117"/>
      <c r="L53" s="117"/>
      <c r="M53" s="117"/>
      <c r="N53" s="117"/>
    </row>
    <row r="54" spans="1:14" s="115" customFormat="1" ht="45.75" customHeight="1" x14ac:dyDescent="0.3">
      <c r="A54" s="118" t="s">
        <v>18</v>
      </c>
      <c r="B54" s="117" t="s">
        <v>31</v>
      </c>
      <c r="C54" s="117"/>
      <c r="D54" s="117"/>
      <c r="E54" s="117"/>
      <c r="F54" s="117"/>
      <c r="G54" s="117"/>
      <c r="H54" s="117"/>
      <c r="I54" s="117"/>
      <c r="J54" s="117"/>
      <c r="K54" s="117"/>
      <c r="L54" s="117"/>
      <c r="M54" s="117"/>
      <c r="N54" s="117"/>
    </row>
    <row r="55" spans="1:14" s="115" customFormat="1" ht="28.5" customHeight="1" x14ac:dyDescent="0.3">
      <c r="A55" s="116" t="s">
        <v>18</v>
      </c>
      <c r="B55" s="38" t="s">
        <v>32</v>
      </c>
      <c r="C55" s="38"/>
      <c r="D55" s="38"/>
      <c r="E55" s="38"/>
      <c r="F55" s="38"/>
      <c r="G55" s="38"/>
      <c r="H55" s="38"/>
      <c r="I55" s="38"/>
      <c r="J55" s="38"/>
      <c r="K55" s="38"/>
      <c r="L55" s="38"/>
      <c r="M55" s="38"/>
      <c r="N55" s="38"/>
    </row>
  </sheetData>
  <sortState xmlns:xlrd2="http://schemas.microsoft.com/office/spreadsheetml/2017/richdata2" ref="B39:J42">
    <sortCondition ref="B39:B42"/>
  </sortState>
  <phoneticPr fontId="6" type="noConversion"/>
  <conditionalFormatting sqref="B30">
    <cfRule type="duplicateValues" dxfId="9" priority="4"/>
  </conditionalFormatting>
  <conditionalFormatting sqref="B31:B39 B25:B29 B20:B23">
    <cfRule type="duplicateValues" dxfId="8" priority="110"/>
  </conditionalFormatting>
  <conditionalFormatting sqref="B40:B42 B24">
    <cfRule type="duplicateValues" dxfId="7" priority="94"/>
  </conditionalFormatting>
  <conditionalFormatting sqref="D30">
    <cfRule type="duplicateValues" dxfId="6" priority="5"/>
  </conditionalFormatting>
  <conditionalFormatting sqref="D31:D42 D20:D29">
    <cfRule type="duplicateValues" dxfId="5" priority="114"/>
  </conditionalFormatting>
  <conditionalFormatting sqref="K29">
    <cfRule type="cellIs" dxfId="4" priority="3" operator="equal">
      <formula>0</formula>
    </cfRule>
  </conditionalFormatting>
  <conditionalFormatting sqref="K20:K28">
    <cfRule type="cellIs" dxfId="1" priority="2" operator="equal">
      <formula>0</formula>
    </cfRule>
  </conditionalFormatting>
  <conditionalFormatting sqref="K30:K42">
    <cfRule type="cellIs" dxfId="0" priority="1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8" scale="2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078723-D785-411D-9EBB-6D78C3BDE583}">
  <dimension ref="A1:K11"/>
  <sheetViews>
    <sheetView workbookViewId="0">
      <pane xSplit="8" ySplit="2" topLeftCell="I3" activePane="bottomRight" state="frozen"/>
      <selection activeCell="H3" sqref="H3:H6"/>
      <selection pane="topRight" activeCell="H3" sqref="H3:H6"/>
      <selection pane="bottomLeft" activeCell="H3" sqref="H3:H6"/>
      <selection pane="bottomRight" activeCell="J6" sqref="J6"/>
    </sheetView>
  </sheetViews>
  <sheetFormatPr defaultRowHeight="13.8" x14ac:dyDescent="0.3"/>
  <cols>
    <col min="1" max="1" width="7.44140625" style="1" customWidth="1"/>
    <col min="2" max="2" width="26.21875" style="1" customWidth="1"/>
    <col min="3" max="3" width="30.5546875" style="1" customWidth="1"/>
    <col min="4" max="6" width="8.88671875" style="1"/>
    <col min="7" max="7" width="15" style="1" customWidth="1"/>
    <col min="8" max="8" width="17.44140625" style="1" customWidth="1"/>
    <col min="9" max="16384" width="8.88671875" style="1"/>
  </cols>
  <sheetData>
    <row r="1" spans="1:11" x14ac:dyDescent="0.3">
      <c r="A1" s="1" t="s">
        <v>70</v>
      </c>
    </row>
    <row r="2" spans="1:11" x14ac:dyDescent="0.3">
      <c r="A2" s="2" t="s">
        <v>71</v>
      </c>
      <c r="B2" s="3" t="s">
        <v>1</v>
      </c>
      <c r="C2" s="3" t="s">
        <v>17</v>
      </c>
      <c r="D2" s="3" t="s">
        <v>9</v>
      </c>
      <c r="E2" s="4" t="s">
        <v>2</v>
      </c>
      <c r="F2" s="5" t="s">
        <v>6</v>
      </c>
      <c r="G2" s="5" t="s">
        <v>7</v>
      </c>
      <c r="H2" s="5" t="s">
        <v>8</v>
      </c>
    </row>
    <row r="3" spans="1:11" x14ac:dyDescent="0.3">
      <c r="A3" s="6">
        <f>ROW()-2</f>
        <v>1</v>
      </c>
      <c r="B3" s="2" t="s">
        <v>79</v>
      </c>
      <c r="C3" s="6"/>
      <c r="D3" s="6" t="s">
        <v>4</v>
      </c>
      <c r="E3" s="7">
        <f>SUMIF(ЛСР№1!$B$13:$B$46,B3,ЛСР№1!$F$13:$F$46)</f>
        <v>1</v>
      </c>
      <c r="F3" s="7"/>
      <c r="G3" s="7">
        <f>F3*E3</f>
        <v>0</v>
      </c>
      <c r="H3" s="2"/>
    </row>
    <row r="4" spans="1:11" x14ac:dyDescent="0.3">
      <c r="A4" s="6">
        <f t="shared" ref="A4" si="0">ROW()-2</f>
        <v>2</v>
      </c>
      <c r="B4" s="2" t="s">
        <v>80</v>
      </c>
      <c r="C4" s="8"/>
      <c r="D4" s="6" t="s">
        <v>4</v>
      </c>
      <c r="E4" s="7">
        <f>SUMIF(ЛСР№1!$B$13:$B$46,B4,ЛСР№1!$F$13:$F$46)</f>
        <v>1</v>
      </c>
      <c r="F4" s="7"/>
      <c r="G4" s="7">
        <f t="shared" ref="G4" si="1">F4*E4</f>
        <v>0</v>
      </c>
      <c r="H4" s="2"/>
    </row>
    <row r="5" spans="1:11" x14ac:dyDescent="0.3">
      <c r="F5" s="9" t="s">
        <v>72</v>
      </c>
      <c r="G5" s="10">
        <f>SUM(G3:G4)</f>
        <v>0</v>
      </c>
    </row>
    <row r="6" spans="1:11" x14ac:dyDescent="0.3">
      <c r="F6" s="9" t="s">
        <v>73</v>
      </c>
      <c r="G6" s="11">
        <f>G5-ЛСР№1!I48</f>
        <v>0</v>
      </c>
    </row>
    <row r="8" spans="1:11" x14ac:dyDescent="0.3">
      <c r="B8" s="12" t="s">
        <v>29</v>
      </c>
      <c r="C8" s="12"/>
      <c r="D8" s="13"/>
      <c r="G8" s="14"/>
      <c r="I8" s="15"/>
      <c r="J8" s="16"/>
      <c r="K8" s="15"/>
    </row>
    <row r="9" spans="1:11" ht="41.25" customHeight="1" x14ac:dyDescent="0.3">
      <c r="A9" s="17" t="s">
        <v>18</v>
      </c>
      <c r="B9" s="120" t="s">
        <v>30</v>
      </c>
      <c r="C9" s="120"/>
      <c r="D9" s="120"/>
      <c r="E9" s="120"/>
      <c r="F9" s="120"/>
      <c r="G9" s="120"/>
      <c r="H9" s="120"/>
      <c r="I9" s="18"/>
      <c r="J9" s="18"/>
      <c r="K9" s="19"/>
    </row>
    <row r="10" spans="1:11" ht="73.2" customHeight="1" x14ac:dyDescent="0.3">
      <c r="A10" s="20" t="s">
        <v>18</v>
      </c>
      <c r="B10" s="120" t="s">
        <v>31</v>
      </c>
      <c r="C10" s="120"/>
      <c r="D10" s="120"/>
      <c r="E10" s="120"/>
      <c r="F10" s="120"/>
      <c r="G10" s="120"/>
      <c r="H10" s="120"/>
      <c r="I10" s="18"/>
      <c r="J10" s="18"/>
      <c r="K10" s="21"/>
    </row>
    <row r="11" spans="1:11" ht="13.8" customHeight="1" x14ac:dyDescent="0.3">
      <c r="A11" s="17" t="s">
        <v>18</v>
      </c>
      <c r="B11" s="22" t="s">
        <v>32</v>
      </c>
      <c r="C11" s="22"/>
      <c r="D11" s="22"/>
      <c r="E11" s="22"/>
      <c r="F11" s="22"/>
      <c r="G11" s="22"/>
      <c r="H11" s="22"/>
      <c r="I11" s="22"/>
      <c r="J11" s="22"/>
      <c r="K11" s="23"/>
    </row>
  </sheetData>
  <mergeCells count="2">
    <mergeCell ref="B9:H9"/>
    <mergeCell ref="B10:H1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A9B3DC-1D88-49E8-A4C0-B531EEA3D058}">
  <dimension ref="A1:K31"/>
  <sheetViews>
    <sheetView zoomScale="85" zoomScaleNormal="85" workbookViewId="0">
      <pane xSplit="10" ySplit="2" topLeftCell="K3" activePane="bottomRight" state="frozen"/>
      <selection activeCell="H3" sqref="H3:H6"/>
      <selection pane="topRight" activeCell="H3" sqref="H3:H6"/>
      <selection pane="bottomLeft" activeCell="H3" sqref="H3:H6"/>
      <selection pane="bottomRight" activeCell="I3" sqref="I3:I24"/>
    </sheetView>
  </sheetViews>
  <sheetFormatPr defaultRowHeight="13.8" x14ac:dyDescent="0.3"/>
  <cols>
    <col min="1" max="1" width="8.88671875" style="1"/>
    <col min="2" max="2" width="49.21875" style="1" customWidth="1"/>
    <col min="3" max="3" width="16" style="1" customWidth="1"/>
    <col min="4" max="4" width="33.77734375" style="1" customWidth="1"/>
    <col min="5" max="7" width="8.88671875" style="1"/>
    <col min="8" max="8" width="15.88671875" style="1" customWidth="1"/>
    <col min="9" max="9" width="32.109375" style="1" customWidth="1"/>
    <col min="10" max="10" width="17.88671875" style="1" customWidth="1"/>
    <col min="11" max="16384" width="8.88671875" style="1"/>
  </cols>
  <sheetData>
    <row r="1" spans="1:10" x14ac:dyDescent="0.3">
      <c r="A1" s="1" t="s">
        <v>74</v>
      </c>
    </row>
    <row r="2" spans="1:10" ht="27.6" x14ac:dyDescent="0.3">
      <c r="A2" s="24" t="s">
        <v>71</v>
      </c>
      <c r="B2" s="3" t="s">
        <v>1</v>
      </c>
      <c r="C2" s="3" t="s">
        <v>16</v>
      </c>
      <c r="D2" s="3" t="s">
        <v>17</v>
      </c>
      <c r="E2" s="3" t="s">
        <v>9</v>
      </c>
      <c r="F2" s="4" t="s">
        <v>2</v>
      </c>
      <c r="G2" s="5" t="s">
        <v>6</v>
      </c>
      <c r="H2" s="5" t="s">
        <v>7</v>
      </c>
      <c r="I2" s="5" t="s">
        <v>8</v>
      </c>
      <c r="J2" s="5" t="s">
        <v>24</v>
      </c>
    </row>
    <row r="3" spans="1:10" ht="27.6" x14ac:dyDescent="0.3">
      <c r="A3" s="6">
        <f>ROW()-2</f>
        <v>1</v>
      </c>
      <c r="B3" s="25" t="s">
        <v>25</v>
      </c>
      <c r="C3" s="6" t="s">
        <v>26</v>
      </c>
      <c r="D3" s="26" t="s">
        <v>57</v>
      </c>
      <c r="E3" s="26" t="s">
        <v>3</v>
      </c>
      <c r="F3" s="7">
        <f>SUMIF(ЛСР№1!$B$13:$B$46,ТМЦ!B3,ЛСР№1!$F$13:$F$46)</f>
        <v>154</v>
      </c>
      <c r="G3" s="7"/>
      <c r="H3" s="7">
        <f>G3*F3</f>
        <v>0</v>
      </c>
      <c r="I3" s="26"/>
      <c r="J3" s="6"/>
    </row>
    <row r="4" spans="1:10" ht="27.6" x14ac:dyDescent="0.3">
      <c r="A4" s="6">
        <f t="shared" ref="A4:A24" si="0">ROW()-2</f>
        <v>2</v>
      </c>
      <c r="B4" s="25" t="s">
        <v>37</v>
      </c>
      <c r="C4" s="6" t="s">
        <v>26</v>
      </c>
      <c r="D4" s="26" t="s">
        <v>58</v>
      </c>
      <c r="E4" s="26" t="s">
        <v>3</v>
      </c>
      <c r="F4" s="7">
        <f>SUMIF(ЛСР№1!$B$13:$B$46,ТМЦ!B4,ЛСР№1!$F$13:$F$46)</f>
        <v>308</v>
      </c>
      <c r="G4" s="7"/>
      <c r="H4" s="7">
        <f t="shared" ref="H4:H24" si="1">G4*F4</f>
        <v>0</v>
      </c>
      <c r="I4" s="26"/>
      <c r="J4" s="6"/>
    </row>
    <row r="5" spans="1:10" x14ac:dyDescent="0.3">
      <c r="A5" s="6">
        <f t="shared" si="0"/>
        <v>3</v>
      </c>
      <c r="B5" s="25" t="s">
        <v>49</v>
      </c>
      <c r="C5" s="6" t="s">
        <v>26</v>
      </c>
      <c r="D5" s="26" t="s">
        <v>50</v>
      </c>
      <c r="E5" s="26" t="s">
        <v>3</v>
      </c>
      <c r="F5" s="7">
        <f>SUMIF(ЛСР№1!$B$13:$B$46,ТМЦ!B5,ЛСР№1!$F$13:$F$46)</f>
        <v>154</v>
      </c>
      <c r="G5" s="7"/>
      <c r="H5" s="7">
        <f t="shared" si="1"/>
        <v>0</v>
      </c>
      <c r="I5" s="26"/>
      <c r="J5" s="6"/>
    </row>
    <row r="6" spans="1:10" x14ac:dyDescent="0.3">
      <c r="A6" s="6">
        <f t="shared" si="0"/>
        <v>4</v>
      </c>
      <c r="B6" s="25" t="s">
        <v>64</v>
      </c>
      <c r="C6" s="6" t="s">
        <v>26</v>
      </c>
      <c r="D6" s="26"/>
      <c r="E6" s="26" t="s">
        <v>3</v>
      </c>
      <c r="F6" s="7">
        <f>SUMIF(ЛСР№1!$B$13:$B$46,ТМЦ!B6,ЛСР№1!$F$13:$F$46)</f>
        <v>154</v>
      </c>
      <c r="G6" s="7"/>
      <c r="H6" s="7">
        <f t="shared" si="1"/>
        <v>0</v>
      </c>
      <c r="I6" s="26"/>
      <c r="J6" s="6"/>
    </row>
    <row r="7" spans="1:10" ht="27.6" x14ac:dyDescent="0.3">
      <c r="A7" s="6">
        <f t="shared" si="0"/>
        <v>5</v>
      </c>
      <c r="B7" s="25" t="s">
        <v>47</v>
      </c>
      <c r="C7" s="6"/>
      <c r="D7" s="26"/>
      <c r="E7" s="26" t="s">
        <v>3</v>
      </c>
      <c r="F7" s="7">
        <f>SUMIF(ЛСР№1!$B$13:$B$46,ТМЦ!B7,ЛСР№1!$F$13:$F$46)</f>
        <v>154</v>
      </c>
      <c r="G7" s="7"/>
      <c r="H7" s="7">
        <f t="shared" si="1"/>
        <v>0</v>
      </c>
      <c r="I7" s="26"/>
      <c r="J7" s="6"/>
    </row>
    <row r="8" spans="1:10" ht="31.2" customHeight="1" x14ac:dyDescent="0.3">
      <c r="A8" s="6">
        <f t="shared" si="0"/>
        <v>6</v>
      </c>
      <c r="B8" s="25" t="s">
        <v>38</v>
      </c>
      <c r="C8" s="6"/>
      <c r="D8" s="26" t="s">
        <v>51</v>
      </c>
      <c r="E8" s="26" t="s">
        <v>48</v>
      </c>
      <c r="F8" s="7">
        <f>SUMIF(ЛСР№1!$B$13:$B$46,ТМЦ!B8,ЛСР№1!$F$13:$F$46)</f>
        <v>1078</v>
      </c>
      <c r="G8" s="7"/>
      <c r="H8" s="7">
        <f t="shared" si="1"/>
        <v>0</v>
      </c>
      <c r="I8" s="26"/>
      <c r="J8" s="6"/>
    </row>
    <row r="9" spans="1:10" x14ac:dyDescent="0.3">
      <c r="A9" s="6">
        <f t="shared" si="0"/>
        <v>7</v>
      </c>
      <c r="B9" s="25" t="s">
        <v>60</v>
      </c>
      <c r="C9" s="6"/>
      <c r="D9" s="26" t="s">
        <v>54</v>
      </c>
      <c r="E9" s="26" t="s">
        <v>48</v>
      </c>
      <c r="F9" s="7">
        <f>SUMIF(ЛСР№1!$B$13:$B$46,ТМЦ!B9,ЛСР№1!$F$13:$F$46)</f>
        <v>3080</v>
      </c>
      <c r="G9" s="7"/>
      <c r="H9" s="7">
        <f t="shared" si="1"/>
        <v>0</v>
      </c>
      <c r="I9" s="26"/>
      <c r="J9" s="6"/>
    </row>
    <row r="10" spans="1:10" ht="27.6" x14ac:dyDescent="0.3">
      <c r="A10" s="6">
        <f t="shared" si="0"/>
        <v>8</v>
      </c>
      <c r="B10" s="25" t="s">
        <v>61</v>
      </c>
      <c r="C10" s="6"/>
      <c r="D10" s="26" t="s">
        <v>62</v>
      </c>
      <c r="E10" s="26" t="s">
        <v>48</v>
      </c>
      <c r="F10" s="7">
        <f>SUMIF(ЛСР№1!$B$13:$B$46,ТМЦ!B10,ЛСР№1!$F$13:$F$46)</f>
        <v>1040</v>
      </c>
      <c r="G10" s="7"/>
      <c r="H10" s="7">
        <f t="shared" si="1"/>
        <v>0</v>
      </c>
      <c r="I10" s="26"/>
      <c r="J10" s="6"/>
    </row>
    <row r="11" spans="1:10" ht="27.6" x14ac:dyDescent="0.3">
      <c r="A11" s="6">
        <f t="shared" si="0"/>
        <v>9</v>
      </c>
      <c r="B11" s="25" t="s">
        <v>52</v>
      </c>
      <c r="C11" s="6"/>
      <c r="D11" s="26" t="s">
        <v>53</v>
      </c>
      <c r="E11" s="26" t="s">
        <v>48</v>
      </c>
      <c r="F11" s="7">
        <f>SUMIF(ЛСР№1!$B$13:$B$46,ТМЦ!B11,ЛСР№1!$F$13:$F$46)</f>
        <v>3658</v>
      </c>
      <c r="G11" s="7"/>
      <c r="H11" s="7">
        <f t="shared" si="1"/>
        <v>0</v>
      </c>
      <c r="I11" s="26"/>
      <c r="J11" s="6"/>
    </row>
    <row r="12" spans="1:10" ht="27.6" x14ac:dyDescent="0.3">
      <c r="A12" s="6">
        <f t="shared" si="0"/>
        <v>10</v>
      </c>
      <c r="B12" s="25" t="s">
        <v>63</v>
      </c>
      <c r="C12" s="6"/>
      <c r="D12" s="26"/>
      <c r="E12" s="26" t="s">
        <v>3</v>
      </c>
      <c r="F12" s="7">
        <f>SUMIF(ЛСР№1!$B$13:$B$46,ТМЦ!B12,ЛСР№1!$F$13:$F$46)</f>
        <v>154</v>
      </c>
      <c r="G12" s="7"/>
      <c r="H12" s="7">
        <f t="shared" si="1"/>
        <v>0</v>
      </c>
      <c r="I12" s="26"/>
      <c r="J12" s="6"/>
    </row>
    <row r="13" spans="1:10" x14ac:dyDescent="0.3">
      <c r="A13" s="6">
        <f t="shared" si="0"/>
        <v>11</v>
      </c>
      <c r="B13" s="25" t="s">
        <v>39</v>
      </c>
      <c r="C13" s="6"/>
      <c r="D13" s="26"/>
      <c r="E13" s="26" t="s">
        <v>3</v>
      </c>
      <c r="F13" s="7">
        <f>SUMIF(ЛСР№1!$B$13:$B$46,ТМЦ!B13,ЛСР№1!$F$13:$F$46)</f>
        <v>616</v>
      </c>
      <c r="G13" s="7"/>
      <c r="H13" s="7">
        <f t="shared" si="1"/>
        <v>0</v>
      </c>
      <c r="I13" s="26"/>
      <c r="J13" s="6"/>
    </row>
    <row r="14" spans="1:10" x14ac:dyDescent="0.3">
      <c r="A14" s="6">
        <f t="shared" si="0"/>
        <v>12</v>
      </c>
      <c r="B14" s="25" t="s">
        <v>40</v>
      </c>
      <c r="C14" s="6"/>
      <c r="D14" s="26"/>
      <c r="E14" s="26" t="s">
        <v>48</v>
      </c>
      <c r="F14" s="7">
        <f>SUMIF(ЛСР№1!$B$13:$B$46,ТМЦ!B14,ЛСР№1!$F$13:$F$46)</f>
        <v>914</v>
      </c>
      <c r="G14" s="7"/>
      <c r="H14" s="7">
        <f t="shared" si="1"/>
        <v>0</v>
      </c>
      <c r="I14" s="26"/>
      <c r="J14" s="6"/>
    </row>
    <row r="15" spans="1:10" x14ac:dyDescent="0.3">
      <c r="A15" s="6">
        <f t="shared" si="0"/>
        <v>13</v>
      </c>
      <c r="B15" s="25" t="s">
        <v>41</v>
      </c>
      <c r="C15" s="6"/>
      <c r="D15" s="26"/>
      <c r="E15" s="26" t="s">
        <v>3</v>
      </c>
      <c r="F15" s="7">
        <f>SUMIF(ЛСР№1!$B$13:$B$46,ТМЦ!B15,ЛСР№1!$F$13:$F$46)</f>
        <v>3850</v>
      </c>
      <c r="G15" s="7"/>
      <c r="H15" s="7">
        <f t="shared" si="1"/>
        <v>0</v>
      </c>
      <c r="I15" s="26"/>
      <c r="J15" s="6"/>
    </row>
    <row r="16" spans="1:10" x14ac:dyDescent="0.3">
      <c r="A16" s="6">
        <f t="shared" si="0"/>
        <v>14</v>
      </c>
      <c r="B16" s="25" t="s">
        <v>65</v>
      </c>
      <c r="C16" s="6"/>
      <c r="D16" s="26"/>
      <c r="E16" s="26" t="s">
        <v>3</v>
      </c>
      <c r="F16" s="7">
        <f>SUMIF(ЛСР№1!$B$13:$B$46,ТМЦ!B16,ЛСР№1!$F$13:$F$46)</f>
        <v>924</v>
      </c>
      <c r="G16" s="7"/>
      <c r="H16" s="7">
        <f t="shared" si="1"/>
        <v>0</v>
      </c>
      <c r="I16" s="26"/>
      <c r="J16" s="6"/>
    </row>
    <row r="17" spans="1:11" x14ac:dyDescent="0.3">
      <c r="A17" s="6">
        <f t="shared" si="0"/>
        <v>15</v>
      </c>
      <c r="B17" s="25" t="s">
        <v>66</v>
      </c>
      <c r="C17" s="6"/>
      <c r="D17" s="26"/>
      <c r="E17" s="26" t="s">
        <v>3</v>
      </c>
      <c r="F17" s="7">
        <f>SUMIF(ЛСР№1!$B$13:$B$46,ТМЦ!B17,ЛСР№1!$F$13:$F$46)</f>
        <v>154</v>
      </c>
      <c r="G17" s="7"/>
      <c r="H17" s="7">
        <f t="shared" si="1"/>
        <v>0</v>
      </c>
      <c r="I17" s="26"/>
      <c r="J17" s="6"/>
    </row>
    <row r="18" spans="1:11" ht="27.6" x14ac:dyDescent="0.3">
      <c r="A18" s="6">
        <f t="shared" si="0"/>
        <v>16</v>
      </c>
      <c r="B18" s="25" t="s">
        <v>67</v>
      </c>
      <c r="C18" s="6"/>
      <c r="D18" s="26"/>
      <c r="E18" s="26" t="s">
        <v>3</v>
      </c>
      <c r="F18" s="7">
        <f>SUMIF(ЛСР№1!$B$13:$B$46,ТМЦ!B18,ЛСР№1!$F$13:$F$46)</f>
        <v>80</v>
      </c>
      <c r="G18" s="7"/>
      <c r="H18" s="7">
        <f t="shared" si="1"/>
        <v>0</v>
      </c>
      <c r="I18" s="26"/>
      <c r="J18" s="6"/>
    </row>
    <row r="19" spans="1:11" ht="27.6" x14ac:dyDescent="0.3">
      <c r="A19" s="6">
        <f t="shared" si="0"/>
        <v>17</v>
      </c>
      <c r="B19" s="25" t="s">
        <v>59</v>
      </c>
      <c r="C19" s="6"/>
      <c r="D19" s="26"/>
      <c r="E19" s="26" t="s">
        <v>3</v>
      </c>
      <c r="F19" s="7">
        <f>SUMIF(ЛСР№1!$B$13:$B$46,ТМЦ!B19,ЛСР№1!$F$13:$F$46)</f>
        <v>40</v>
      </c>
      <c r="G19" s="7"/>
      <c r="H19" s="7">
        <f t="shared" si="1"/>
        <v>0</v>
      </c>
      <c r="I19" s="26"/>
      <c r="J19" s="6"/>
    </row>
    <row r="20" spans="1:11" x14ac:dyDescent="0.3">
      <c r="A20" s="6">
        <f t="shared" si="0"/>
        <v>18</v>
      </c>
      <c r="B20" s="25" t="s">
        <v>42</v>
      </c>
      <c r="C20" s="6"/>
      <c r="D20" s="26"/>
      <c r="E20" s="26" t="s">
        <v>3</v>
      </c>
      <c r="F20" s="7">
        <f>SUMIF(ЛСР№1!$B$13:$B$46,ТМЦ!B20,ЛСР№1!$F$13:$F$46)</f>
        <v>40</v>
      </c>
      <c r="G20" s="7"/>
      <c r="H20" s="7">
        <f t="shared" si="1"/>
        <v>0</v>
      </c>
      <c r="I20" s="26"/>
      <c r="J20" s="6"/>
    </row>
    <row r="21" spans="1:11" ht="33.6" customHeight="1" x14ac:dyDescent="0.3">
      <c r="A21" s="6">
        <f t="shared" si="0"/>
        <v>19</v>
      </c>
      <c r="B21" s="25" t="s">
        <v>43</v>
      </c>
      <c r="C21" s="6"/>
      <c r="D21" s="26"/>
      <c r="E21" s="26" t="s">
        <v>3</v>
      </c>
      <c r="F21" s="7">
        <f>SUMIF(ЛСР№1!$B$13:$B$46,ТМЦ!B21,ЛСР№1!$F$13:$F$46)</f>
        <v>462</v>
      </c>
      <c r="G21" s="7"/>
      <c r="H21" s="7">
        <f t="shared" si="1"/>
        <v>0</v>
      </c>
      <c r="I21" s="26"/>
      <c r="J21" s="6"/>
    </row>
    <row r="22" spans="1:11" ht="33.6" customHeight="1" x14ac:dyDescent="0.3">
      <c r="A22" s="6">
        <f t="shared" si="0"/>
        <v>20</v>
      </c>
      <c r="B22" s="25" t="s">
        <v>44</v>
      </c>
      <c r="C22" s="6"/>
      <c r="D22" s="26"/>
      <c r="E22" s="26" t="s">
        <v>3</v>
      </c>
      <c r="F22" s="7">
        <f>SUMIF(ЛСР№1!$B$13:$B$46,ТМЦ!B22,ЛСР№1!$F$13:$F$46)</f>
        <v>502</v>
      </c>
      <c r="G22" s="7"/>
      <c r="H22" s="7">
        <f t="shared" si="1"/>
        <v>0</v>
      </c>
      <c r="I22" s="26"/>
      <c r="J22" s="6"/>
    </row>
    <row r="23" spans="1:11" ht="33.6" customHeight="1" x14ac:dyDescent="0.3">
      <c r="A23" s="6">
        <f t="shared" si="0"/>
        <v>21</v>
      </c>
      <c r="B23" s="25" t="s">
        <v>45</v>
      </c>
      <c r="C23" s="6"/>
      <c r="D23" s="26"/>
      <c r="E23" s="26" t="s">
        <v>3</v>
      </c>
      <c r="F23" s="7">
        <f>SUMIF(ЛСР№1!$B$13:$B$46,ТМЦ!B23,ЛСР№1!$F$13:$F$46)</f>
        <v>40</v>
      </c>
      <c r="G23" s="7"/>
      <c r="H23" s="7">
        <f t="shared" si="1"/>
        <v>0</v>
      </c>
      <c r="I23" s="26"/>
      <c r="J23" s="6"/>
    </row>
    <row r="24" spans="1:11" x14ac:dyDescent="0.3">
      <c r="A24" s="6">
        <f t="shared" si="0"/>
        <v>22</v>
      </c>
      <c r="B24" s="25" t="s">
        <v>46</v>
      </c>
      <c r="C24" s="6"/>
      <c r="D24" s="26"/>
      <c r="E24" s="26" t="s">
        <v>3</v>
      </c>
      <c r="F24" s="7">
        <f>SUMIF(ЛСР№1!$B$13:$B$46,ТМЦ!B24,ЛСР№1!$F$13:$F$46)</f>
        <v>1</v>
      </c>
      <c r="G24" s="7"/>
      <c r="H24" s="7">
        <f t="shared" si="1"/>
        <v>0</v>
      </c>
      <c r="I24" s="26"/>
      <c r="J24" s="6"/>
    </row>
    <row r="25" spans="1:11" x14ac:dyDescent="0.3">
      <c r="G25" s="9" t="s">
        <v>72</v>
      </c>
      <c r="H25" s="10">
        <f>SUM(H3:H24)</f>
        <v>0</v>
      </c>
    </row>
    <row r="26" spans="1:11" x14ac:dyDescent="0.3">
      <c r="G26" s="9" t="s">
        <v>73</v>
      </c>
      <c r="H26" s="11">
        <f>H25-ЛСР№1!I49</f>
        <v>0</v>
      </c>
    </row>
    <row r="28" spans="1:11" x14ac:dyDescent="0.3">
      <c r="B28" s="12" t="s">
        <v>29</v>
      </c>
      <c r="C28" s="12"/>
      <c r="D28" s="13"/>
      <c r="E28" s="13"/>
      <c r="G28" s="14"/>
      <c r="I28" s="15"/>
      <c r="J28" s="16"/>
      <c r="K28" s="15"/>
    </row>
    <row r="29" spans="1:11" ht="41.25" customHeight="1" x14ac:dyDescent="0.3">
      <c r="A29" s="17" t="s">
        <v>18</v>
      </c>
      <c r="B29" s="120" t="s">
        <v>30</v>
      </c>
      <c r="C29" s="120"/>
      <c r="D29" s="120"/>
      <c r="E29" s="120"/>
      <c r="F29" s="120"/>
      <c r="G29" s="120"/>
      <c r="H29" s="120"/>
      <c r="I29" s="18"/>
      <c r="J29" s="18"/>
      <c r="K29" s="19"/>
    </row>
    <row r="30" spans="1:11" ht="73.2" customHeight="1" x14ac:dyDescent="0.3">
      <c r="A30" s="20" t="s">
        <v>18</v>
      </c>
      <c r="B30" s="120" t="s">
        <v>31</v>
      </c>
      <c r="C30" s="120"/>
      <c r="D30" s="120"/>
      <c r="E30" s="120"/>
      <c r="F30" s="120"/>
      <c r="G30" s="120"/>
      <c r="H30" s="120"/>
      <c r="I30" s="18"/>
      <c r="J30" s="18"/>
      <c r="K30" s="21"/>
    </row>
    <row r="31" spans="1:11" ht="13.8" customHeight="1" x14ac:dyDescent="0.3">
      <c r="A31" s="17" t="s">
        <v>18</v>
      </c>
      <c r="B31" s="22" t="s">
        <v>32</v>
      </c>
      <c r="C31" s="22"/>
      <c r="D31" s="22"/>
      <c r="E31" s="22"/>
      <c r="F31" s="22"/>
      <c r="G31" s="22"/>
      <c r="H31" s="22"/>
      <c r="I31" s="22"/>
      <c r="J31" s="22"/>
      <c r="K31" s="23"/>
    </row>
  </sheetData>
  <mergeCells count="2">
    <mergeCell ref="B29:H29"/>
    <mergeCell ref="B30:H30"/>
  </mergeCells>
  <conditionalFormatting sqref="B1:B1048576">
    <cfRule type="duplicateValues" dxfId="3" priority="2"/>
  </conditionalFormatting>
  <conditionalFormatting sqref="I3:I24">
    <cfRule type="cellIs" dxfId="2" priority="1" operator="equal">
      <formula>0</formula>
    </cfRule>
  </conditionalFormatting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ЛСР№1</vt:lpstr>
      <vt:lpstr>СМР</vt:lpstr>
      <vt:lpstr>ТМЦ</vt:lpstr>
      <vt:lpstr>ЛСР№1!Область_печати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2026-02-18T17:04:53Z</dcterms:modified>
</cp:coreProperties>
</file>