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vetkovAA\Desktop\2 очередь\пакеты\Металл\"/>
    </mc:Choice>
  </mc:AlternateContent>
  <xr:revisionPtr revIDLastSave="0" documentId="13_ncr:1_{137B734F-5640-4A98-A6AB-D8774A96ED5A}" xr6:coauthVersionLast="47" xr6:coauthVersionMax="47" xr10:uidLastSave="{00000000-0000-0000-0000-000000000000}"/>
  <bookViews>
    <workbookView xWindow="-108" yWindow="-16308" windowWidth="29016" windowHeight="15816" xr2:uid="{00000000-000D-0000-FFFF-FFFF00000000}"/>
  </bookViews>
  <sheets>
    <sheet name="ЛСР" sheetId="1" r:id="rId1"/>
    <sheet name="Работы" sheetId="2" r:id="rId2"/>
    <sheet name="Материалы" sheetId="3" r:id="rId3"/>
    <sheet name="ПараметрыЗагрузки" sheetId="4" state="veryHidden" r:id="rId4"/>
  </sheets>
  <calcPr calcId="191029" refMode="R1C1"/>
</workbook>
</file>

<file path=xl/calcChain.xml><?xml version="1.0" encoding="utf-8"?>
<calcChain xmlns="http://schemas.openxmlformats.org/spreadsheetml/2006/main">
  <c r="K13" i="1" l="1"/>
  <c r="L13" i="1" a="1"/>
  <c r="L13" i="1" s="1"/>
  <c r="M13" i="1" s="1"/>
  <c r="M12" i="1" s="1"/>
  <c r="K15" i="1"/>
  <c r="O15" i="1" a="1"/>
  <c r="O15" i="1" s="1"/>
  <c r="L15" i="1" a="1"/>
  <c r="L15" i="1"/>
  <c r="K16" i="1"/>
  <c r="O16" i="1" a="1"/>
  <c r="O16" i="1" s="1"/>
  <c r="L16" i="1" a="1"/>
  <c r="L16" i="1" s="1"/>
  <c r="M16" i="1" s="1"/>
  <c r="K17" i="1"/>
  <c r="O17" i="1" a="1"/>
  <c r="O17" i="1" s="1"/>
  <c r="L17" i="1" a="1"/>
  <c r="L17" i="1" s="1"/>
  <c r="M17" i="1" s="1"/>
  <c r="K18" i="1"/>
  <c r="O18" i="1" a="1"/>
  <c r="O18" i="1" s="1"/>
  <c r="L18" i="1" a="1"/>
  <c r="L18" i="1" s="1"/>
  <c r="M18" i="1" s="1"/>
  <c r="K19" i="1"/>
  <c r="O19" i="1" a="1"/>
  <c r="O19" i="1"/>
  <c r="L19" i="1" a="1"/>
  <c r="L19" i="1" s="1"/>
  <c r="M19" i="1" s="1"/>
  <c r="K20" i="1"/>
  <c r="O20" i="1" a="1"/>
  <c r="O20" i="1" s="1"/>
  <c r="L20" i="1" a="1"/>
  <c r="L20" i="1" s="1"/>
  <c r="M20" i="1" s="1"/>
  <c r="K21" i="1"/>
  <c r="O21" i="1" a="1"/>
  <c r="O21" i="1" s="1"/>
  <c r="L21" i="1" a="1"/>
  <c r="L21" i="1"/>
  <c r="M15" i="1"/>
  <c r="M14" i="1" s="1"/>
  <c r="M21" i="1"/>
  <c r="K23" i="1"/>
  <c r="L23" i="1" a="1"/>
  <c r="L23" i="1" s="1"/>
  <c r="M23" i="1" s="1"/>
  <c r="M22" i="1" s="1"/>
  <c r="K25" i="1"/>
  <c r="O25" i="1" a="1"/>
  <c r="O25" i="1" s="1"/>
  <c r="L25" i="1" a="1"/>
  <c r="L25" i="1" s="1"/>
  <c r="M25" i="1" s="1"/>
  <c r="K26" i="1"/>
  <c r="O26" i="1" a="1"/>
  <c r="O26" i="1" s="1"/>
  <c r="L26" i="1" a="1"/>
  <c r="L26" i="1"/>
  <c r="K27" i="1"/>
  <c r="O27" i="1" a="1"/>
  <c r="O27" i="1"/>
  <c r="L27" i="1" a="1"/>
  <c r="L27" i="1"/>
  <c r="K28" i="1"/>
  <c r="O28" i="1" a="1"/>
  <c r="O28" i="1" s="1"/>
  <c r="L28" i="1" a="1"/>
  <c r="L28" i="1"/>
  <c r="K29" i="1"/>
  <c r="O29" i="1" a="1"/>
  <c r="O29" i="1" s="1"/>
  <c r="L29" i="1" a="1"/>
  <c r="L29" i="1" s="1"/>
  <c r="M29" i="1" s="1"/>
  <c r="K30" i="1"/>
  <c r="O30" i="1" a="1"/>
  <c r="O30" i="1" s="1"/>
  <c r="L30" i="1" a="1"/>
  <c r="L30" i="1" s="1"/>
  <c r="M30" i="1" s="1"/>
  <c r="K31" i="1"/>
  <c r="O31" i="1" a="1"/>
  <c r="O31" i="1" s="1"/>
  <c r="L31" i="1" a="1"/>
  <c r="L31" i="1" s="1"/>
  <c r="M31" i="1" s="1"/>
  <c r="M26" i="1"/>
  <c r="M27" i="1"/>
  <c r="M28" i="1"/>
  <c r="K35" i="1"/>
  <c r="L35" i="1" a="1"/>
  <c r="L35" i="1" s="1"/>
  <c r="M35" i="1" s="1"/>
  <c r="M34" i="1" s="1"/>
  <c r="K37" i="1"/>
  <c r="O37" i="1" a="1"/>
  <c r="O37" i="1" s="1"/>
  <c r="L37" i="1" a="1"/>
  <c r="L37" i="1" s="1"/>
  <c r="M37" i="1" s="1"/>
  <c r="K38" i="1"/>
  <c r="O38" i="1" a="1"/>
  <c r="O38" i="1" s="1"/>
  <c r="L38" i="1" a="1"/>
  <c r="L38" i="1" s="1"/>
  <c r="M38" i="1" s="1"/>
  <c r="K39" i="1"/>
  <c r="O39" i="1" a="1"/>
  <c r="O39" i="1" s="1"/>
  <c r="L39" i="1" a="1"/>
  <c r="L39" i="1" s="1"/>
  <c r="M39" i="1" s="1"/>
  <c r="K40" i="1"/>
  <c r="O40" i="1" a="1"/>
  <c r="O40" i="1"/>
  <c r="L40" i="1" a="1"/>
  <c r="L40" i="1" s="1"/>
  <c r="M40" i="1" s="1"/>
  <c r="K41" i="1"/>
  <c r="O41" i="1" a="1"/>
  <c r="O41" i="1" s="1"/>
  <c r="L41" i="1" a="1"/>
  <c r="L41" i="1" s="1"/>
  <c r="M41" i="1" s="1"/>
  <c r="K42" i="1"/>
  <c r="O42" i="1" a="1"/>
  <c r="O42" i="1"/>
  <c r="L42" i="1" a="1"/>
  <c r="L42" i="1"/>
  <c r="K43" i="1"/>
  <c r="O43" i="1" a="1"/>
  <c r="O43" i="1"/>
  <c r="L43" i="1" a="1"/>
  <c r="L43" i="1"/>
  <c r="K44" i="1"/>
  <c r="O44" i="1" a="1"/>
  <c r="O44" i="1"/>
  <c r="L44" i="1" a="1"/>
  <c r="L44" i="1"/>
  <c r="K45" i="1"/>
  <c r="O45" i="1" a="1"/>
  <c r="O45" i="1" s="1"/>
  <c r="L45" i="1" a="1"/>
  <c r="L45" i="1" s="1"/>
  <c r="M45" i="1" s="1"/>
  <c r="K46" i="1"/>
  <c r="O46" i="1" a="1"/>
  <c r="O46" i="1" s="1"/>
  <c r="L46" i="1" a="1"/>
  <c r="L46" i="1" s="1"/>
  <c r="M46" i="1" s="1"/>
  <c r="K47" i="1"/>
  <c r="O47" i="1" a="1"/>
  <c r="O47" i="1" s="1"/>
  <c r="L47" i="1" a="1"/>
  <c r="L47" i="1" s="1"/>
  <c r="M47" i="1" s="1"/>
  <c r="K48" i="1"/>
  <c r="O48" i="1" a="1"/>
  <c r="O48" i="1" s="1"/>
  <c r="L48" i="1" a="1"/>
  <c r="L48" i="1" s="1"/>
  <c r="M48" i="1" s="1"/>
  <c r="M42" i="1"/>
  <c r="M43" i="1"/>
  <c r="M44" i="1"/>
  <c r="K50" i="1"/>
  <c r="L50" i="1" a="1"/>
  <c r="L50" i="1" s="1"/>
  <c r="M50" i="1" s="1"/>
  <c r="M49" i="1" s="1"/>
  <c r="K52" i="1"/>
  <c r="O52" i="1" a="1"/>
  <c r="O52" i="1" s="1"/>
  <c r="L52" i="1" a="1"/>
  <c r="L52" i="1"/>
  <c r="K53" i="1"/>
  <c r="O53" i="1" a="1"/>
  <c r="O53" i="1" s="1"/>
  <c r="L53" i="1" a="1"/>
  <c r="L53" i="1" s="1"/>
  <c r="M53" i="1" s="1"/>
  <c r="K54" i="1"/>
  <c r="O54" i="1" a="1"/>
  <c r="O54" i="1" s="1"/>
  <c r="L54" i="1" a="1"/>
  <c r="L54" i="1" s="1"/>
  <c r="M54" i="1" s="1"/>
  <c r="K55" i="1"/>
  <c r="O55" i="1" a="1"/>
  <c r="O55" i="1"/>
  <c r="L55" i="1" a="1"/>
  <c r="L55" i="1"/>
  <c r="K56" i="1"/>
  <c r="O56" i="1" a="1"/>
  <c r="O56" i="1"/>
  <c r="L56" i="1" a="1"/>
  <c r="L56" i="1"/>
  <c r="K57" i="1"/>
  <c r="O57" i="1" a="1"/>
  <c r="O57" i="1"/>
  <c r="L57" i="1" a="1"/>
  <c r="L57" i="1"/>
  <c r="K58" i="1"/>
  <c r="O58" i="1" a="1"/>
  <c r="O58" i="1"/>
  <c r="L58" i="1" a="1"/>
  <c r="L58" i="1"/>
  <c r="K59" i="1"/>
  <c r="O59" i="1" a="1"/>
  <c r="O59" i="1"/>
  <c r="L59" i="1" a="1"/>
  <c r="L59" i="1"/>
  <c r="K60" i="1"/>
  <c r="O60" i="1" a="1"/>
  <c r="O60" i="1" s="1"/>
  <c r="L60" i="1" a="1"/>
  <c r="L60" i="1" s="1"/>
  <c r="M60" i="1" s="1"/>
  <c r="K61" i="1"/>
  <c r="O61" i="1" a="1"/>
  <c r="O61" i="1" s="1"/>
  <c r="L61" i="1" a="1"/>
  <c r="L61" i="1" s="1"/>
  <c r="M61" i="1" s="1"/>
  <c r="M52" i="1"/>
  <c r="M55" i="1"/>
  <c r="M56" i="1"/>
  <c r="M57" i="1"/>
  <c r="M58" i="1"/>
  <c r="M59" i="1"/>
  <c r="K63" i="1"/>
  <c r="L63" i="1" a="1"/>
  <c r="L63" i="1" s="1"/>
  <c r="M63" i="1" s="1"/>
  <c r="M62" i="1" s="1"/>
  <c r="K65" i="1"/>
  <c r="O65" i="1" a="1"/>
  <c r="O65" i="1" s="1"/>
  <c r="L65" i="1" a="1"/>
  <c r="L65" i="1" s="1"/>
  <c r="M65" i="1" s="1"/>
  <c r="K66" i="1"/>
  <c r="O66" i="1" a="1"/>
  <c r="O66" i="1" s="1"/>
  <c r="L66" i="1" a="1"/>
  <c r="L66" i="1" s="1"/>
  <c r="M66" i="1" s="1"/>
  <c r="K67" i="1"/>
  <c r="O67" i="1" a="1"/>
  <c r="O67" i="1" s="1"/>
  <c r="L67" i="1" a="1"/>
  <c r="L67" i="1" s="1"/>
  <c r="M67" i="1" s="1"/>
  <c r="K68" i="1"/>
  <c r="O68" i="1" a="1"/>
  <c r="O68" i="1"/>
  <c r="L68" i="1" a="1"/>
  <c r="L68" i="1"/>
  <c r="K69" i="1"/>
  <c r="O69" i="1" a="1"/>
  <c r="O69" i="1"/>
  <c r="L69" i="1" a="1"/>
  <c r="L69" i="1"/>
  <c r="K70" i="1"/>
  <c r="O70" i="1" a="1"/>
  <c r="O70" i="1"/>
  <c r="L70" i="1" a="1"/>
  <c r="L70" i="1"/>
  <c r="K71" i="1"/>
  <c r="O71" i="1" a="1"/>
  <c r="O71" i="1"/>
  <c r="L71" i="1" a="1"/>
  <c r="L71" i="1"/>
  <c r="K72" i="1"/>
  <c r="O72" i="1" a="1"/>
  <c r="O72" i="1"/>
  <c r="L72" i="1" a="1"/>
  <c r="L72" i="1"/>
  <c r="K73" i="1"/>
  <c r="O73" i="1" a="1"/>
  <c r="O73" i="1"/>
  <c r="L73" i="1" a="1"/>
  <c r="L73" i="1"/>
  <c r="K74" i="1"/>
  <c r="O74" i="1" a="1"/>
  <c r="O74" i="1"/>
  <c r="L74" i="1" a="1"/>
  <c r="L74" i="1"/>
  <c r="K75" i="1"/>
  <c r="O75" i="1" a="1"/>
  <c r="O75" i="1"/>
  <c r="L75" i="1" a="1"/>
  <c r="L75" i="1" s="1"/>
  <c r="M75" i="1" s="1"/>
  <c r="K76" i="1"/>
  <c r="O76" i="1" a="1"/>
  <c r="O76" i="1" s="1"/>
  <c r="L76" i="1" a="1"/>
  <c r="L76" i="1" s="1"/>
  <c r="M76" i="1" s="1"/>
  <c r="M68" i="1"/>
  <c r="M69" i="1"/>
  <c r="M70" i="1"/>
  <c r="M71" i="1"/>
  <c r="M72" i="1"/>
  <c r="M73" i="1"/>
  <c r="M74" i="1"/>
  <c r="K78" i="1"/>
  <c r="L78" i="1" a="1"/>
  <c r="L78" i="1" s="1"/>
  <c r="M78" i="1" s="1"/>
  <c r="M77" i="1" s="1"/>
  <c r="K80" i="1"/>
  <c r="O80" i="1" a="1"/>
  <c r="O80" i="1" s="1"/>
  <c r="L80" i="1" a="1"/>
  <c r="L80" i="1" s="1"/>
  <c r="M80" i="1" s="1"/>
  <c r="M79" i="1" s="1"/>
  <c r="K81" i="1"/>
  <c r="O81" i="1" a="1"/>
  <c r="O81" i="1"/>
  <c r="L81" i="1" a="1"/>
  <c r="L81" i="1"/>
  <c r="K82" i="1"/>
  <c r="O82" i="1" a="1"/>
  <c r="O82" i="1"/>
  <c r="L82" i="1" a="1"/>
  <c r="L82" i="1"/>
  <c r="K83" i="1"/>
  <c r="O83" i="1" a="1"/>
  <c r="O83" i="1"/>
  <c r="L83" i="1" a="1"/>
  <c r="L83" i="1"/>
  <c r="K84" i="1"/>
  <c r="O84" i="1" a="1"/>
  <c r="O84" i="1"/>
  <c r="L84" i="1" a="1"/>
  <c r="L84" i="1"/>
  <c r="K85" i="1"/>
  <c r="O85" i="1" a="1"/>
  <c r="O85" i="1"/>
  <c r="L85" i="1" a="1"/>
  <c r="L85" i="1"/>
  <c r="K86" i="1"/>
  <c r="O86" i="1" a="1"/>
  <c r="O86" i="1"/>
  <c r="L86" i="1" a="1"/>
  <c r="L86" i="1" s="1"/>
  <c r="M86" i="1" s="1"/>
  <c r="K87" i="1"/>
  <c r="O87" i="1" a="1"/>
  <c r="O87" i="1" s="1"/>
  <c r="L87" i="1" a="1"/>
  <c r="L87" i="1" s="1"/>
  <c r="M87" i="1" s="1"/>
  <c r="K88" i="1"/>
  <c r="O88" i="1" a="1"/>
  <c r="O88" i="1" s="1"/>
  <c r="L88" i="1" a="1"/>
  <c r="L88" i="1" s="1"/>
  <c r="M88" i="1" s="1"/>
  <c r="M81" i="1"/>
  <c r="M82" i="1"/>
  <c r="M83" i="1"/>
  <c r="M84" i="1"/>
  <c r="M85" i="1"/>
  <c r="K90" i="1"/>
  <c r="L90" i="1" a="1"/>
  <c r="L90" i="1" s="1"/>
  <c r="M90" i="1" s="1"/>
  <c r="M89" i="1" s="1"/>
  <c r="K92" i="1"/>
  <c r="O92" i="1" a="1"/>
  <c r="O92" i="1" s="1"/>
  <c r="L92" i="1" a="1"/>
  <c r="L92" i="1" s="1"/>
  <c r="M92" i="1" s="1"/>
  <c r="K93" i="1"/>
  <c r="O93" i="1" a="1"/>
  <c r="O93" i="1" s="1"/>
  <c r="L93" i="1" a="1"/>
  <c r="L93" i="1" s="1"/>
  <c r="M93" i="1" s="1"/>
  <c r="K94" i="1"/>
  <c r="O94" i="1" a="1"/>
  <c r="O94" i="1" s="1"/>
  <c r="L94" i="1" a="1"/>
  <c r="L94" i="1"/>
  <c r="K95" i="1"/>
  <c r="O95" i="1" a="1"/>
  <c r="O95" i="1"/>
  <c r="L95" i="1" a="1"/>
  <c r="L95" i="1"/>
  <c r="K96" i="1"/>
  <c r="O96" i="1" a="1"/>
  <c r="O96" i="1"/>
  <c r="L96" i="1" a="1"/>
  <c r="L96" i="1"/>
  <c r="K97" i="1"/>
  <c r="O97" i="1" a="1"/>
  <c r="O97" i="1"/>
  <c r="L97" i="1" a="1"/>
  <c r="L97" i="1"/>
  <c r="K98" i="1"/>
  <c r="O98" i="1" a="1"/>
  <c r="O98" i="1"/>
  <c r="L98" i="1" a="1"/>
  <c r="L98" i="1"/>
  <c r="K99" i="1"/>
  <c r="O99" i="1" a="1"/>
  <c r="O99" i="1"/>
  <c r="L99" i="1" a="1"/>
  <c r="L99" i="1"/>
  <c r="K100" i="1"/>
  <c r="O100" i="1" a="1"/>
  <c r="O100" i="1"/>
  <c r="L100" i="1" a="1"/>
  <c r="L100" i="1" s="1"/>
  <c r="M100" i="1" s="1"/>
  <c r="M94" i="1"/>
  <c r="M95" i="1"/>
  <c r="M96" i="1"/>
  <c r="M97" i="1"/>
  <c r="M98" i="1"/>
  <c r="M99" i="1"/>
  <c r="K102" i="1"/>
  <c r="L102" i="1" a="1"/>
  <c r="L102" i="1" s="1"/>
  <c r="M102" i="1" s="1"/>
  <c r="M101" i="1" s="1"/>
  <c r="K104" i="1"/>
  <c r="O104" i="1" a="1"/>
  <c r="O104" i="1" s="1"/>
  <c r="L104" i="1" a="1"/>
  <c r="L104" i="1" s="1"/>
  <c r="K105" i="1"/>
  <c r="O105" i="1" a="1"/>
  <c r="O105" i="1" s="1"/>
  <c r="L105" i="1" a="1"/>
  <c r="L105" i="1" s="1"/>
  <c r="K106" i="1"/>
  <c r="O106" i="1" a="1"/>
  <c r="O106" i="1" s="1"/>
  <c r="L106" i="1" a="1"/>
  <c r="L106" i="1" s="1"/>
  <c r="K107" i="1"/>
  <c r="M107" i="1" s="1"/>
  <c r="O107" i="1" a="1"/>
  <c r="O107" i="1" s="1"/>
  <c r="L107" i="1" a="1"/>
  <c r="L107" i="1" s="1"/>
  <c r="K108" i="1"/>
  <c r="O108" i="1" a="1"/>
  <c r="O108" i="1"/>
  <c r="L108" i="1" a="1"/>
  <c r="L108" i="1"/>
  <c r="K109" i="1"/>
  <c r="O109" i="1" a="1"/>
  <c r="O109" i="1"/>
  <c r="L109" i="1" a="1"/>
  <c r="L109" i="1"/>
  <c r="K110" i="1"/>
  <c r="O110" i="1" a="1"/>
  <c r="O110" i="1"/>
  <c r="L110" i="1" a="1"/>
  <c r="L110" i="1"/>
  <c r="K111" i="1"/>
  <c r="O111" i="1" a="1"/>
  <c r="O111" i="1"/>
  <c r="L111" i="1" a="1"/>
  <c r="L111" i="1"/>
  <c r="K112" i="1"/>
  <c r="O112" i="1" a="1"/>
  <c r="O112" i="1"/>
  <c r="L112" i="1" a="1"/>
  <c r="L112" i="1"/>
  <c r="M108" i="1"/>
  <c r="M109" i="1"/>
  <c r="M110" i="1"/>
  <c r="M111" i="1"/>
  <c r="M112" i="1"/>
  <c r="K114" i="1"/>
  <c r="L114" i="1" a="1"/>
  <c r="L114" i="1"/>
  <c r="M114" i="1"/>
  <c r="M113" i="1" s="1"/>
  <c r="K116" i="1"/>
  <c r="O116" i="1" a="1"/>
  <c r="O116" i="1"/>
  <c r="L116" i="1" a="1"/>
  <c r="L116" i="1"/>
  <c r="K117" i="1"/>
  <c r="O117" i="1" a="1"/>
  <c r="O117" i="1"/>
  <c r="L117" i="1" a="1"/>
  <c r="L117" i="1"/>
  <c r="M117" i="1" s="1"/>
  <c r="K118" i="1"/>
  <c r="M118" i="1" s="1"/>
  <c r="O118" i="1" a="1"/>
  <c r="O118" i="1"/>
  <c r="L118" i="1" a="1"/>
  <c r="L118" i="1"/>
  <c r="K119" i="1"/>
  <c r="M119" i="1" s="1"/>
  <c r="O119" i="1" a="1"/>
  <c r="O119" i="1"/>
  <c r="L119" i="1" a="1"/>
  <c r="L119" i="1"/>
  <c r="K120" i="1"/>
  <c r="M120" i="1" s="1"/>
  <c r="O120" i="1" a="1"/>
  <c r="O120" i="1"/>
  <c r="L120" i="1" a="1"/>
  <c r="L120" i="1"/>
  <c r="K121" i="1"/>
  <c r="M121" i="1" s="1"/>
  <c r="O121" i="1" a="1"/>
  <c r="O121" i="1"/>
  <c r="L121" i="1" a="1"/>
  <c r="L121" i="1"/>
  <c r="K122" i="1"/>
  <c r="O122" i="1" a="1"/>
  <c r="O122" i="1"/>
  <c r="L122" i="1" a="1"/>
  <c r="L122" i="1"/>
  <c r="M116" i="1"/>
  <c r="M115" i="1" s="1"/>
  <c r="M122" i="1"/>
  <c r="K124" i="1"/>
  <c r="L124" i="1" a="1"/>
  <c r="L124" i="1"/>
  <c r="M124" i="1"/>
  <c r="M123" i="1" s="1"/>
  <c r="K126" i="1"/>
  <c r="O126" i="1" a="1"/>
  <c r="O126" i="1"/>
  <c r="L126" i="1" a="1"/>
  <c r="L126" i="1"/>
  <c r="K127" i="1"/>
  <c r="O127" i="1" a="1"/>
  <c r="O127" i="1" s="1"/>
  <c r="L127" i="1" a="1"/>
  <c r="L127" i="1" s="1"/>
  <c r="M127" i="1" s="1"/>
  <c r="K128" i="1"/>
  <c r="O128" i="1" a="1"/>
  <c r="O128" i="1" s="1"/>
  <c r="L128" i="1" a="1"/>
  <c r="L128" i="1"/>
  <c r="K129" i="1"/>
  <c r="O129" i="1" a="1"/>
  <c r="O129" i="1" s="1"/>
  <c r="L129" i="1" a="1"/>
  <c r="L129" i="1" s="1"/>
  <c r="M129" i="1" s="1"/>
  <c r="K130" i="1"/>
  <c r="O130" i="1" a="1"/>
  <c r="O130" i="1"/>
  <c r="L130" i="1" a="1"/>
  <c r="L130" i="1" s="1"/>
  <c r="K131" i="1"/>
  <c r="O131" i="1" a="1"/>
  <c r="O131" i="1" s="1"/>
  <c r="L131" i="1" a="1"/>
  <c r="L131" i="1" s="1"/>
  <c r="K132" i="1"/>
  <c r="M132" i="1" s="1"/>
  <c r="O132" i="1" a="1"/>
  <c r="O132" i="1" s="1"/>
  <c r="L132" i="1" a="1"/>
  <c r="L132" i="1"/>
  <c r="K133" i="1"/>
  <c r="O133" i="1" a="1"/>
  <c r="O133" i="1" s="1"/>
  <c r="L133" i="1" a="1"/>
  <c r="L133" i="1" s="1"/>
  <c r="M126" i="1"/>
  <c r="M128" i="1"/>
  <c r="K135" i="1"/>
  <c r="L135" i="1" a="1"/>
  <c r="L135" i="1"/>
  <c r="M135" i="1"/>
  <c r="M134" i="1" s="1"/>
  <c r="K137" i="1"/>
  <c r="O137" i="1" a="1"/>
  <c r="O137" i="1"/>
  <c r="L137" i="1" a="1"/>
  <c r="L137" i="1"/>
  <c r="K138" i="1"/>
  <c r="O138" i="1" a="1"/>
  <c r="O138" i="1"/>
  <c r="L138" i="1" a="1"/>
  <c r="L138" i="1"/>
  <c r="K139" i="1"/>
  <c r="O139" i="1" a="1"/>
  <c r="O139" i="1"/>
  <c r="L139" i="1" a="1"/>
  <c r="L139" i="1"/>
  <c r="K140" i="1"/>
  <c r="O140" i="1" a="1"/>
  <c r="O140" i="1"/>
  <c r="L140" i="1" a="1"/>
  <c r="L140" i="1"/>
  <c r="K141" i="1"/>
  <c r="O141" i="1" a="1"/>
  <c r="O141" i="1"/>
  <c r="L141" i="1" a="1"/>
  <c r="L141" i="1"/>
  <c r="K142" i="1"/>
  <c r="O142" i="1" a="1"/>
  <c r="O142" i="1"/>
  <c r="L142" i="1" a="1"/>
  <c r="L142" i="1"/>
  <c r="K143" i="1"/>
  <c r="O143" i="1" a="1"/>
  <c r="O143" i="1"/>
  <c r="L143" i="1" a="1"/>
  <c r="L143" i="1"/>
  <c r="M137" i="1"/>
  <c r="M136" i="1" s="1"/>
  <c r="M138" i="1"/>
  <c r="M139" i="1"/>
  <c r="M140" i="1"/>
  <c r="M141" i="1"/>
  <c r="M142" i="1"/>
  <c r="M143" i="1"/>
  <c r="K147" i="1"/>
  <c r="L147" i="1" a="1"/>
  <c r="L147" i="1"/>
  <c r="M147" i="1"/>
  <c r="M146" i="1" s="1"/>
  <c r="K149" i="1"/>
  <c r="O149" i="1" a="1"/>
  <c r="O149" i="1"/>
  <c r="L149" i="1" a="1"/>
  <c r="L149" i="1" s="1"/>
  <c r="M149" i="1" s="1"/>
  <c r="K150" i="1"/>
  <c r="O150" i="1" a="1"/>
  <c r="O150" i="1" s="1"/>
  <c r="L150" i="1" a="1"/>
  <c r="L150" i="1"/>
  <c r="K151" i="1"/>
  <c r="O151" i="1" a="1"/>
  <c r="O151" i="1"/>
  <c r="L151" i="1" a="1"/>
  <c r="L151" i="1"/>
  <c r="K152" i="1"/>
  <c r="O152" i="1" a="1"/>
  <c r="O152" i="1"/>
  <c r="L152" i="1" a="1"/>
  <c r="L152" i="1"/>
  <c r="K153" i="1"/>
  <c r="M153" i="1" s="1"/>
  <c r="O153" i="1" a="1"/>
  <c r="O153" i="1"/>
  <c r="L153" i="1" a="1"/>
  <c r="L153" i="1"/>
  <c r="K154" i="1"/>
  <c r="M154" i="1" s="1"/>
  <c r="O154" i="1" a="1"/>
  <c r="O154" i="1"/>
  <c r="L154" i="1" a="1"/>
  <c r="L154" i="1"/>
  <c r="K155" i="1"/>
  <c r="M155" i="1" s="1"/>
  <c r="O155" i="1" a="1"/>
  <c r="O155" i="1"/>
  <c r="L155" i="1" a="1"/>
  <c r="L155" i="1"/>
  <c r="K156" i="1"/>
  <c r="M156" i="1" s="1"/>
  <c r="O156" i="1" a="1"/>
  <c r="O156" i="1"/>
  <c r="L156" i="1" a="1"/>
  <c r="L156" i="1"/>
  <c r="K157" i="1"/>
  <c r="M157" i="1" s="1"/>
  <c r="O157" i="1" a="1"/>
  <c r="O157" i="1"/>
  <c r="L157" i="1" a="1"/>
  <c r="L157" i="1"/>
  <c r="K158" i="1"/>
  <c r="M158" i="1" s="1"/>
  <c r="O158" i="1" a="1"/>
  <c r="O158" i="1"/>
  <c r="L158" i="1" a="1"/>
  <c r="L158" i="1"/>
  <c r="K159" i="1"/>
  <c r="M159" i="1" s="1"/>
  <c r="O159" i="1" a="1"/>
  <c r="O159" i="1"/>
  <c r="L159" i="1" a="1"/>
  <c r="L159" i="1"/>
  <c r="K160" i="1"/>
  <c r="M160" i="1" s="1"/>
  <c r="O160" i="1" a="1"/>
  <c r="O160" i="1"/>
  <c r="L160" i="1" a="1"/>
  <c r="L160" i="1"/>
  <c r="K161" i="1"/>
  <c r="M161" i="1" s="1"/>
  <c r="O161" i="1" a="1"/>
  <c r="O161" i="1"/>
  <c r="L161" i="1" a="1"/>
  <c r="L161" i="1"/>
  <c r="K162" i="1"/>
  <c r="O162" i="1" a="1"/>
  <c r="O162" i="1"/>
  <c r="L162" i="1" a="1"/>
  <c r="L162" i="1" s="1"/>
  <c r="M150" i="1"/>
  <c r="M151" i="1"/>
  <c r="M152" i="1"/>
  <c r="G47" i="3"/>
  <c r="G46" i="3"/>
  <c r="G45" i="3"/>
  <c r="G44" i="3"/>
  <c r="G43" i="3"/>
  <c r="G42" i="3"/>
  <c r="G41" i="3"/>
  <c r="G40" i="3"/>
  <c r="G39" i="3"/>
  <c r="G38" i="3"/>
  <c r="G37" i="3"/>
  <c r="G36" i="3"/>
  <c r="G35" i="3"/>
  <c r="G34" i="3"/>
  <c r="G33" i="3"/>
  <c r="G32" i="3"/>
  <c r="G31" i="3"/>
  <c r="G30" i="3"/>
  <c r="G29" i="3"/>
  <c r="G28" i="3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G5" i="3"/>
  <c r="G4" i="3"/>
  <c r="G48" i="3"/>
  <c r="E15" i="2"/>
  <c r="E14" i="2"/>
  <c r="E13" i="2"/>
  <c r="E12" i="2"/>
  <c r="E11" i="2"/>
  <c r="E10" i="2"/>
  <c r="E9" i="2"/>
  <c r="E8" i="2"/>
  <c r="E7" i="2"/>
  <c r="E6" i="2"/>
  <c r="E5" i="2"/>
  <c r="E4" i="2"/>
  <c r="E16" i="2"/>
  <c r="M51" i="1" l="1"/>
  <c r="M64" i="1"/>
  <c r="M104" i="1"/>
  <c r="M105" i="1"/>
  <c r="M106" i="1"/>
  <c r="M130" i="1"/>
  <c r="M131" i="1"/>
  <c r="M133" i="1"/>
  <c r="M24" i="1"/>
  <c r="M11" i="1" s="1"/>
  <c r="M10" i="1" s="1"/>
  <c r="M36" i="1"/>
  <c r="M91" i="1"/>
  <c r="M164" i="1"/>
  <c r="M162" i="1"/>
  <c r="M148" i="1" s="1"/>
  <c r="M165" i="1" l="1"/>
  <c r="M145" i="1"/>
  <c r="M144" i="1" s="1"/>
  <c r="M9" i="1" s="1"/>
  <c r="M163" i="1" s="1"/>
  <c r="M125" i="1"/>
  <c r="M33" i="1" s="1"/>
  <c r="M32" i="1" s="1"/>
  <c r="M103" i="1"/>
</calcChain>
</file>

<file path=xl/sharedStrings.xml><?xml version="1.0" encoding="utf-8"?>
<sst xmlns="http://schemas.openxmlformats.org/spreadsheetml/2006/main" count="813" uniqueCount="159">
  <si>
    <t>Локальный сметный расчет (ЛСР) №4</t>
  </si>
  <si>
    <t>Объект: «Комплексная застройка территории, расположенной в границах улиц Камчатская – Западносибирская – Энтузиастов в г. Тюмени. Многоэтажный жилой дом ГП-76» Секция 1, 2, 3, 4</t>
  </si>
  <si>
    <t>Ведомость объемов работ и расхода материалов по работе: Изготовление и монтаж металлических изделий и сопутствующим работам (согласно проекту шифр АС, стадия Р)</t>
  </si>
  <si>
    <t>№</t>
  </si>
  <si>
    <t>Наименование</t>
  </si>
  <si>
    <t>Артикул, марка, производитель</t>
  </si>
  <si>
    <t>Характеристика</t>
  </si>
  <si>
    <t>Ед. изм.</t>
  </si>
  <si>
    <t>Норма расхода</t>
  </si>
  <si>
    <t>Секция 1</t>
  </si>
  <si>
    <t>Секция 2</t>
  </si>
  <si>
    <t>Секция 3</t>
  </si>
  <si>
    <t>Секция 4</t>
  </si>
  <si>
    <t>Количество</t>
  </si>
  <si>
    <t>Цена за ед., руб</t>
  </si>
  <si>
    <t>Сумма, руб</t>
  </si>
  <si>
    <t>Примечание</t>
  </si>
  <si>
    <t>Форма закупа материала</t>
  </si>
  <si>
    <t>06</t>
  </si>
  <si>
    <t>Металлические изделия</t>
  </si>
  <si>
    <t>06.01</t>
  </si>
  <si>
    <t>Изготовление и монтаж металлических изделий</t>
  </si>
  <si>
    <t>06.01.01</t>
  </si>
  <si>
    <t>Стремянки</t>
  </si>
  <si>
    <t>06.01.01.00</t>
  </si>
  <si>
    <t>Работы:</t>
  </si>
  <si>
    <t>Изготовление, монтаж и окраска металлических стремянок С-1</t>
  </si>
  <si>
    <t>кг</t>
  </si>
  <si>
    <t>Выход на кровлю</t>
  </si>
  <si>
    <t>Материалы:</t>
  </si>
  <si>
    <t>1</t>
  </si>
  <si>
    <t>Арматура</t>
  </si>
  <si>
    <t>А500С Ø18 ГОСТ 34028-2016</t>
  </si>
  <si>
    <t>т</t>
  </si>
  <si>
    <t>2</t>
  </si>
  <si>
    <t>Уголок стальной (кг.)</t>
  </si>
  <si>
    <t>75х75х5</t>
  </si>
  <si>
    <t>3</t>
  </si>
  <si>
    <t>Краска (л.)</t>
  </si>
  <si>
    <t>стирол-акриловая водная дисперсия полуматовая RAL7022</t>
  </si>
  <si>
    <t>л (дм3)</t>
  </si>
  <si>
    <t>4</t>
  </si>
  <si>
    <t>Грунтовка (кг.)</t>
  </si>
  <si>
    <t>алкидная ГФ-021</t>
  </si>
  <si>
    <t>5</t>
  </si>
  <si>
    <t>Болт (шт)</t>
  </si>
  <si>
    <t>БСР М10х100</t>
  </si>
  <si>
    <t>шт</t>
  </si>
  <si>
    <t>6</t>
  </si>
  <si>
    <t>Электроды</t>
  </si>
  <si>
    <t>Э42 Ø4мм</t>
  </si>
  <si>
    <t>7</t>
  </si>
  <si>
    <t>Пластина (кг.)</t>
  </si>
  <si>
    <t>стальная 100х100х6</t>
  </si>
  <si>
    <t>Изготовление, монтаж и окраска металлических стремянок С-2</t>
  </si>
  <si>
    <t>Машинное помещение лифта</t>
  </si>
  <si>
    <t>анкерный распорный 8х115</t>
  </si>
  <si>
    <t>Лист стальной (кг.)</t>
  </si>
  <si>
    <t>г/к 8мм ст3сп</t>
  </si>
  <si>
    <t>Пластина 1095х40, 165х165, 1095х140</t>
  </si>
  <si>
    <t>06.01.02</t>
  </si>
  <si>
    <t>Ограждения</t>
  </si>
  <si>
    <t>06.01.02.00</t>
  </si>
  <si>
    <t>Изготовление, монтаж и окраска металлических ограждений (0-10кг)</t>
  </si>
  <si>
    <t>1 сек - ОГЛ 7.1, Пр-1; 2 сек - Пр-1; 3 сек - ОГЛ-7.3; 4 сек - Пр-1;</t>
  </si>
  <si>
    <t>анкерный распорный 8х105</t>
  </si>
  <si>
    <t>Труба профильная (кг.)</t>
  </si>
  <si>
    <t>30х20х2</t>
  </si>
  <si>
    <t>20х20х2</t>
  </si>
  <si>
    <t>8</t>
  </si>
  <si>
    <t>40х20х2</t>
  </si>
  <si>
    <t>9</t>
  </si>
  <si>
    <t>г/к 4мм ст3сп</t>
  </si>
  <si>
    <t>120х50 - Пр-1</t>
  </si>
  <si>
    <t>10</t>
  </si>
  <si>
    <t>г/к 6мм ст3сп</t>
  </si>
  <si>
    <t>30х100 - ОГЛ-7.1, ОГЛ-7.3</t>
  </si>
  <si>
    <t>11</t>
  </si>
  <si>
    <t>Труба электросварная (кг.)</t>
  </si>
  <si>
    <t>стальная Дн-20х2,0</t>
  </si>
  <si>
    <t>12</t>
  </si>
  <si>
    <t>стальная Дн-40х2,0</t>
  </si>
  <si>
    <t>Изготовление, монтаж и окраска металлических ограждений (10-20кг)</t>
  </si>
  <si>
    <t>ОГЛ-5 - 1-4 сек; 
ОГЛ-1.4, ОГЛ 7.4 - 4 сек;</t>
  </si>
  <si>
    <t>50х50х5</t>
  </si>
  <si>
    <t>40х30х2</t>
  </si>
  <si>
    <t>130х130 - ОГЛ-1.4, 100х30 - ОГЛ 7.4</t>
  </si>
  <si>
    <t>Изготовление, монтаж и окраска металлических ограждений (20-30кг)</t>
  </si>
  <si>
    <t>ОГЛ-6 - 1,2,4 сек; ОГБ-4 - 2 сек; ОГБ-5 - 1 сек; ОГБ-6 - 1,2,3 сек</t>
  </si>
  <si>
    <t>анкерный распорный 10х120</t>
  </si>
  <si>
    <t>80х130 - ОГБ-4, ОГБ-5, ОГБ-6</t>
  </si>
  <si>
    <t>100х50 - ОГЛ-6</t>
  </si>
  <si>
    <t>г/к 2мм ст3сп</t>
  </si>
  <si>
    <t>60х60 - ОГБ-4, ОГБ-5, ОГБ-6</t>
  </si>
  <si>
    <t>Изготовление, монтаж и окраска металлических ограждений (30-40кг)</t>
  </si>
  <si>
    <t>ОГЛ-1 - 1,2 сек; ОГЛ-1.3 - 3 сек; ОГЛ-3.3 - 3 сек;</t>
  </si>
  <si>
    <t>130х130 - ОГЛ-1, ОГЛ-1.3</t>
  </si>
  <si>
    <t>Изготовление, монтаж и окраска металлических ограждений (40-50кг)</t>
  </si>
  <si>
    <t>ОГЛ-2 - 1,2,3 сек;, ОГЛ-3-1,2 сек; ОГЛ-4-1,2,3,4 сек; ОГЛ-3.4 - 4 сек; ОГЛ-4.4 - 4 сек;</t>
  </si>
  <si>
    <t>130х130 - ОГЛ-2</t>
  </si>
  <si>
    <t>Изготовление, монтаж и окраска металлических ограждений (60-70кг)</t>
  </si>
  <si>
    <t>ОГЛ-2.4 - 4 сек</t>
  </si>
  <si>
    <t>130х130 - ОГЛ-2.4</t>
  </si>
  <si>
    <t>Изготовление, монтаж и окраска металлических ограждений (70-80кг)</t>
  </si>
  <si>
    <t>ОГБ-1 - 1 сек</t>
  </si>
  <si>
    <t>анкерный распорный 10х98</t>
  </si>
  <si>
    <t>40х40х3</t>
  </si>
  <si>
    <t>ОГБ-1 - 100х190</t>
  </si>
  <si>
    <t>Изготовление, монтаж и окраска металлических ограждений (80-90кг)</t>
  </si>
  <si>
    <t>ОГН-1 - 3 сек; ОГБ-2 - 1,2,3,4 сек; ОГБ-3 - 2,4 сек;</t>
  </si>
  <si>
    <t>150х150 - ОГН-1; 100х190 - ОГБ-2, ОГБ-3</t>
  </si>
  <si>
    <t>Изготовление, монтаж и окраска металлических ограждений (более 100кг)</t>
  </si>
  <si>
    <t>Ограждение парапета</t>
  </si>
  <si>
    <t>65х50х6</t>
  </si>
  <si>
    <t>20х20, 60х60</t>
  </si>
  <si>
    <t>06.01.03</t>
  </si>
  <si>
    <t>Приямок</t>
  </si>
  <si>
    <t>06.01.03.00</t>
  </si>
  <si>
    <t>Монтаж решетки (сборное изделие)</t>
  </si>
  <si>
    <t>с 1 по 4 сек - решетка 1 шт 650х650; 2,4 сек - решетка 1 шт. 800х800; 3,4 сек - заграждения подключения радиаторов в ЛК; 1,2,4 сек - решетка Алсагор 2 шт, 3 сек - решетка Алсагор 1 шт.</t>
  </si>
  <si>
    <t>А500С Ø14 ГОСТ 34028-2016</t>
  </si>
  <si>
    <t>А240 Ø8 ГОСТ 34028-2016</t>
  </si>
  <si>
    <t>А500С Ø12 ГОСТ 34028-2016</t>
  </si>
  <si>
    <t>Швеллер горячекатаный (кг.)</t>
  </si>
  <si>
    <t>10У С355</t>
  </si>
  <si>
    <t>30х30х3</t>
  </si>
  <si>
    <t>65х65х3</t>
  </si>
  <si>
    <t>40х40х4</t>
  </si>
  <si>
    <t>стирол-акриловая водная дисперсия полуматовая RAL9002</t>
  </si>
  <si>
    <t>для заграждения радиаторов</t>
  </si>
  <si>
    <t>13</t>
  </si>
  <si>
    <t>50х50х2</t>
  </si>
  <si>
    <t>14</t>
  </si>
  <si>
    <t>Решетка для приямков</t>
  </si>
  <si>
    <t>стальная 860х955х30</t>
  </si>
  <si>
    <t>Алсагор</t>
  </si>
  <si>
    <t>ИТОГО по сметному расчету:</t>
  </si>
  <si>
    <t>Всего стоимость работ</t>
  </si>
  <si>
    <t>Всего стоимость материалов</t>
  </si>
  <si>
    <t>Расценки на работы включают:</t>
  </si>
  <si>
    <t>Сводная ведомость объемов работ</t>
  </si>
  <si>
    <t>Сводная ведомость объемов материала</t>
  </si>
  <si>
    <t>Наим.</t>
  </si>
  <si>
    <t>Артикул, марка, произв.</t>
  </si>
  <si>
    <t>Хар-ка</t>
  </si>
  <si>
    <t>Прим.</t>
  </si>
  <si>
    <t>Форма закупа</t>
  </si>
  <si>
    <t>Закупка подрядчик</t>
  </si>
  <si>
    <t>ЛСР</t>
  </si>
  <si>
    <t>ЛСРГуид</t>
  </si>
  <si>
    <t>ГП-76.01.06.01 Секция 1_Изготовление и монтаж металлических изделий №1</t>
  </si>
  <si>
    <t>5db639f4-063c-11f1-9613-b7da9bb227ce</t>
  </si>
  <si>
    <t>ГП-76.02.06.01 Секция 2_Изготовление и монтаж металлических изделий №1</t>
  </si>
  <si>
    <t>63c59e19-063c-11f1-9613-b7da9bb227ce</t>
  </si>
  <si>
    <t>ГП-76.03.06.01 Секция 3_Изготовление и монтаж металлических изделий №1</t>
  </si>
  <si>
    <t>7131b954-063c-11f1-9613-b7da9bb227ce</t>
  </si>
  <si>
    <t>ГП-76.04.06.01 Секция 4_Изготовление и монтаж металлических изделий №1</t>
  </si>
  <si>
    <t>7b65411e-063c-11f1-9613-b7da9bb227ce</t>
  </si>
  <si>
    <t>Итог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</si>
</sst>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"/>
    <numFmt numFmtId="165" formatCode="0.0"/>
    <numFmt numFmtId="166" formatCode="#,##0.0"/>
  </numFmts>
  <fonts count="4" x14ac:knownFonts="1">
    <font>
      <sz val="8"/>
      <name val="Arial"/>
    </font>
    <font>
      <sz val="8"/>
      <name val="Arial"/>
      <family val="2"/>
    </font>
    <font>
      <b/>
      <sz val="8"/>
      <name val="Arial"/>
      <family val="2"/>
    </font>
    <font>
      <b/>
      <i/>
      <sz val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E5B8B7"/>
        <bgColor auto="1"/>
      </patternFill>
    </fill>
    <fill>
      <patternFill patternType="solid">
        <fgColor rgb="FFFFFF00"/>
        <bgColor auto="1"/>
      </patternFill>
    </fill>
    <fill>
      <patternFill patternType="solid">
        <fgColor rgb="FFB4C6E7"/>
        <bgColor auto="1"/>
      </patternFill>
    </fill>
    <fill>
      <patternFill patternType="solid">
        <fgColor rgb="FFFFFFFF"/>
        <bgColor auto="1"/>
      </patternFill>
    </fill>
    <fill>
      <patternFill patternType="solid">
        <fgColor rgb="FF8EAADB"/>
        <bgColor auto="1"/>
      </patternFill>
    </fill>
    <fill>
      <patternFill patternType="solid">
        <fgColor rgb="FFFF0000"/>
        <bgColor auto="1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92">
    <xf numFmtId="0" fontId="0" fillId="0" borderId="0" xfId="0"/>
    <xf numFmtId="0" fontId="0" fillId="0" borderId="0" xfId="0" applyAlignment="1">
      <alignment horizontal="left"/>
    </xf>
    <xf numFmtId="0" fontId="2" fillId="0" borderId="1" xfId="0" applyFont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2" borderId="5" xfId="0" applyFill="1" applyBorder="1" applyAlignment="1">
      <alignment horizontal="left" wrapText="1"/>
    </xf>
    <xf numFmtId="0" fontId="0" fillId="2" borderId="5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0" fillId="2" borderId="5" xfId="0" applyFill="1" applyBorder="1" applyAlignment="1">
      <alignment horizontal="right" vertical="center"/>
    </xf>
    <xf numFmtId="0" fontId="0" fillId="3" borderId="5" xfId="0" applyFill="1" applyBorder="1" applyAlignment="1">
      <alignment horizontal="center"/>
    </xf>
    <xf numFmtId="0" fontId="0" fillId="3" borderId="5" xfId="0" applyFill="1" applyBorder="1" applyAlignment="1">
      <alignment horizontal="left" wrapText="1"/>
    </xf>
    <xf numFmtId="0" fontId="0" fillId="3" borderId="5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/>
    </xf>
    <xf numFmtId="0" fontId="0" fillId="3" borderId="5" xfId="0" applyFill="1" applyBorder="1" applyAlignment="1">
      <alignment horizontal="right" vertical="center"/>
    </xf>
    <xf numFmtId="0" fontId="2" fillId="4" borderId="5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left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right" vertical="center"/>
    </xf>
    <xf numFmtId="0" fontId="0" fillId="4" borderId="5" xfId="0" applyFill="1" applyBorder="1" applyAlignment="1">
      <alignment horizontal="right" vertical="center"/>
    </xf>
    <xf numFmtId="0" fontId="0" fillId="4" borderId="5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left"/>
    </xf>
    <xf numFmtId="0" fontId="0" fillId="4" borderId="5" xfId="0" applyFill="1" applyBorder="1" applyAlignment="1">
      <alignment horizontal="center" vertical="center"/>
    </xf>
    <xf numFmtId="0" fontId="0" fillId="4" borderId="5" xfId="0" applyFill="1" applyBorder="1" applyAlignment="1">
      <alignment horizontal="right"/>
    </xf>
    <xf numFmtId="0" fontId="0" fillId="5" borderId="5" xfId="0" applyFill="1" applyBorder="1" applyAlignment="1">
      <alignment horizontal="center"/>
    </xf>
    <xf numFmtId="0" fontId="0" fillId="5" borderId="5" xfId="0" applyFill="1" applyBorder="1" applyAlignment="1">
      <alignment horizontal="left" wrapText="1"/>
    </xf>
    <xf numFmtId="0" fontId="0" fillId="5" borderId="5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/>
    </xf>
    <xf numFmtId="0" fontId="0" fillId="5" borderId="5" xfId="0" applyFill="1" applyBorder="1" applyAlignment="1">
      <alignment horizontal="right" vertical="center"/>
    </xf>
    <xf numFmtId="2" fontId="0" fillId="5" borderId="5" xfId="0" applyNumberFormat="1" applyFill="1" applyBorder="1" applyAlignment="1">
      <alignment horizontal="right" vertical="center"/>
    </xf>
    <xf numFmtId="164" fontId="0" fillId="5" borderId="5" xfId="0" applyNumberFormat="1" applyFill="1" applyBorder="1" applyAlignment="1">
      <alignment horizontal="right" vertical="center"/>
    </xf>
    <xf numFmtId="1" fontId="0" fillId="5" borderId="5" xfId="0" applyNumberFormat="1" applyFill="1" applyBorder="1" applyAlignment="1">
      <alignment horizontal="right" vertical="center"/>
    </xf>
    <xf numFmtId="165" fontId="0" fillId="5" borderId="5" xfId="0" applyNumberFormat="1" applyFill="1" applyBorder="1" applyAlignment="1">
      <alignment horizontal="right" vertical="center"/>
    </xf>
    <xf numFmtId="4" fontId="0" fillId="5" borderId="5" xfId="0" applyNumberFormat="1" applyFill="1" applyBorder="1" applyAlignment="1">
      <alignment horizontal="right" vertical="center"/>
    </xf>
    <xf numFmtId="166" fontId="0" fillId="5" borderId="5" xfId="0" applyNumberFormat="1" applyFill="1" applyBorder="1" applyAlignment="1">
      <alignment horizontal="right" vertical="center"/>
    </xf>
    <xf numFmtId="3" fontId="0" fillId="5" borderId="5" xfId="0" applyNumberFormat="1" applyFill="1" applyBorder="1" applyAlignment="1">
      <alignment horizontal="right" vertical="center"/>
    </xf>
    <xf numFmtId="0" fontId="0" fillId="6" borderId="5" xfId="0" applyFill="1" applyBorder="1" applyAlignment="1">
      <alignment horizontal="left"/>
    </xf>
    <xf numFmtId="0" fontId="0" fillId="6" borderId="6" xfId="0" applyFill="1" applyBorder="1" applyAlignment="1">
      <alignment horizontal="left"/>
    </xf>
    <xf numFmtId="0" fontId="2" fillId="6" borderId="7" xfId="0" applyFont="1" applyFill="1" applyBorder="1" applyAlignment="1">
      <alignment horizontal="right"/>
    </xf>
    <xf numFmtId="0" fontId="0" fillId="6" borderId="5" xfId="0" applyFill="1" applyBorder="1" applyAlignment="1">
      <alignment horizontal="right"/>
    </xf>
    <xf numFmtId="0" fontId="3" fillId="6" borderId="7" xfId="0" applyFont="1" applyFill="1" applyBorder="1" applyAlignment="1">
      <alignment horizontal="right"/>
    </xf>
    <xf numFmtId="0" fontId="0" fillId="7" borderId="5" xfId="0" applyFill="1" applyBorder="1" applyAlignment="1">
      <alignment horizontal="left"/>
    </xf>
    <xf numFmtId="0" fontId="0" fillId="0" borderId="5" xfId="0" applyBorder="1" applyAlignment="1">
      <alignment horizontal="center" vertical="center"/>
    </xf>
    <xf numFmtId="2" fontId="0" fillId="0" borderId="5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165" fontId="0" fillId="0" borderId="5" xfId="0" applyNumberFormat="1" applyBorder="1" applyAlignment="1">
      <alignment horizontal="right" vertical="center"/>
    </xf>
    <xf numFmtId="4" fontId="0" fillId="0" borderId="5" xfId="0" applyNumberFormat="1" applyBorder="1" applyAlignment="1">
      <alignment horizontal="right" vertical="center"/>
    </xf>
    <xf numFmtId="166" fontId="0" fillId="0" borderId="5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" fontId="0" fillId="0" borderId="5" xfId="0" applyNumberFormat="1" applyBorder="1" applyAlignment="1">
      <alignment horizontal="right" vertical="center"/>
    </xf>
    <xf numFmtId="164" fontId="0" fillId="0" borderId="5" xfId="0" applyNumberFormat="1" applyBorder="1" applyAlignment="1">
      <alignment horizontal="right" vertical="center"/>
    </xf>
    <xf numFmtId="0" fontId="2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6" borderId="7" xfId="0" applyFont="1" applyFill="1" applyBorder="1" applyAlignment="1">
      <alignment horizontal="right"/>
    </xf>
    <xf numFmtId="0" fontId="3" fillId="6" borderId="7" xfId="0" applyFont="1" applyFill="1" applyBorder="1" applyAlignment="1">
      <alignment horizontal="right"/>
    </xf>
    <xf numFmtId="0" fontId="2" fillId="7" borderId="7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top" wrapText="1"/>
    </xf>
    <xf numFmtId="0" fontId="2" fillId="0" borderId="0" xfId="0" applyFont="1" applyAlignment="1">
      <alignment horizontal="center"/>
    </xf>
    <xf numFmtId="0" fontId="0" fillId="0" borderId="7" xfId="0" applyBorder="1" applyAlignment="1">
      <alignment horizontal="left" wrapText="1"/>
    </xf>
    <xf numFmtId="0" fontId="0" fillId="0" borderId="9" xfId="0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 wrapText="1"/>
    </xf>
    <xf numFmtId="0" fontId="0" fillId="0" borderId="2" xfId="0" applyBorder="1" applyAlignment="1">
      <alignment horizontal="center" vertical="center"/>
    </xf>
    <xf numFmtId="1" fontId="0" fillId="0" borderId="2" xfId="0" applyNumberFormat="1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4" xfId="0" applyBorder="1" applyAlignment="1">
      <alignment horizontal="center" vertical="center" wrapText="1"/>
    </xf>
    <xf numFmtId="0" fontId="0" fillId="0" borderId="8" xfId="0" applyBorder="1"/>
    <xf numFmtId="4" fontId="2" fillId="0" borderId="1" xfId="0" applyNumberFormat="1" applyFont="1" applyBorder="1" applyAlignment="1">
      <alignment horizontal="center" vertical="center" wrapText="1"/>
    </xf>
    <xf numFmtId="4" fontId="0" fillId="0" borderId="2" xfId="0" applyNumberFormat="1" applyBorder="1" applyAlignment="1">
      <alignment horizontal="right" vertical="center"/>
    </xf>
    <xf numFmtId="0" fontId="2" fillId="0" borderId="1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2" fontId="0" fillId="0" borderId="2" xfId="0" applyNumberFormat="1" applyBorder="1" applyAlignment="1">
      <alignment horizontal="right" vertical="center"/>
    </xf>
    <xf numFmtId="4" fontId="0" fillId="2" borderId="5" xfId="0" applyNumberFormat="1" applyFill="1" applyBorder="1" applyAlignment="1">
      <alignment horizontal="right" vertical="center"/>
    </xf>
    <xf numFmtId="4" fontId="0" fillId="3" borderId="5" xfId="0" applyNumberFormat="1" applyFill="1" applyBorder="1" applyAlignment="1">
      <alignment horizontal="right" vertical="center"/>
    </xf>
    <xf numFmtId="4" fontId="0" fillId="4" borderId="5" xfId="0" applyNumberFormat="1" applyFill="1" applyBorder="1" applyAlignment="1">
      <alignment horizontal="right" vertical="center"/>
    </xf>
    <xf numFmtId="4" fontId="0" fillId="4" borderId="5" xfId="0" applyNumberFormat="1" applyFill="1" applyBorder="1" applyAlignment="1">
      <alignment horizontal="center" vertical="center"/>
    </xf>
    <xf numFmtId="4" fontId="2" fillId="4" borderId="0" xfId="0" applyNumberFormat="1" applyFont="1" applyFill="1" applyAlignment="1">
      <alignment horizontal="right" vertical="center"/>
    </xf>
    <xf numFmtId="4" fontId="2" fillId="6" borderId="7" xfId="0" applyNumberFormat="1" applyFont="1" applyFill="1" applyBorder="1" applyAlignment="1">
      <alignment horizontal="right"/>
    </xf>
    <xf numFmtId="4" fontId="2" fillId="6" borderId="5" xfId="0" applyNumberFormat="1" applyFont="1" applyFill="1" applyBorder="1" applyAlignment="1">
      <alignment horizontal="right" vertical="center"/>
    </xf>
    <xf numFmtId="4" fontId="3" fillId="6" borderId="7" xfId="0" applyNumberFormat="1" applyFont="1" applyFill="1" applyBorder="1" applyAlignment="1">
      <alignment horizontal="right"/>
    </xf>
    <xf numFmtId="4" fontId="2" fillId="7" borderId="7" xfId="0" applyNumberFormat="1" applyFont="1" applyFill="1" applyBorder="1" applyAlignment="1">
      <alignment horizontal="center" vertical="center" wrapText="1"/>
    </xf>
    <xf numFmtId="4" fontId="2" fillId="0" borderId="8" xfId="0" applyNumberFormat="1" applyFont="1" applyBorder="1" applyAlignment="1">
      <alignment horizontal="left" vertical="top" wrapText="1"/>
    </xf>
  </cellXfs>
  <cellStyles count="1">
    <cellStyle name="Обычный" xfId="0" builtinId="0"/>
  </cellStyles>
  <dxfs count="38"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2" formatCode="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bottom style="thin">
          <color rgb="FF000000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border diagonalUp="0" diagonalDown="0" outline="0">
        <left/>
        <right/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right style="thin">
          <color rgb="FF000000"/>
        </right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bottom style="thin">
          <color rgb="FF000000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78249E8-D48E-46C6-A171-6DEC5C355262}" name="Р" displayName="Р" ref="A3:F16" totalsRowCount="1" headerRowDxfId="32" headerRowBorderDxfId="36" tableBorderDxfId="37" totalsRowBorderDxfId="35">
  <autoFilter ref="A3:F15" xr:uid="{E78249E8-D48E-46C6-A171-6DEC5C355262}"/>
  <tableColumns count="6">
    <tableColumn id="1" xr3:uid="{8DF2D0D3-4014-4AD8-9EF1-9E014E65C3B1}" name="Наименование" totalsRowLabel="Итог" dataDxfId="34" totalsRowDxfId="27"/>
    <tableColumn id="2" xr3:uid="{B49AF47C-5356-4B15-9F4B-85158695EEF0}" name="Ед. изм." dataDxfId="33" totalsRowDxfId="26"/>
    <tableColumn id="3" xr3:uid="{01DD4F2B-83FA-457D-90A4-47413DB4DAE8}" name="Количество" dataDxfId="30" totalsRowDxfId="25"/>
    <tableColumn id="4" xr3:uid="{D0B31511-9D6A-485C-B583-0E4F68801CB7}" name="Цена за ед., руб" dataDxfId="29" totalsRowDxfId="24"/>
    <tableColumn id="5" xr3:uid="{F11F9988-94EF-4D19-9B6B-8530E30EA367}" name="Сумма, руб" totalsRowFunction="sum" dataDxfId="28" totalsRowDxfId="23">
      <calculatedColumnFormula>ROUND(Р[[#This Row],[Количество]]*Р[[#This Row],[Цена за ед., руб]],2)</calculatedColumnFormula>
    </tableColumn>
    <tableColumn id="6" xr3:uid="{F2F90C06-F454-4F29-A2B9-2C1C89B35F18}" name="Примечание" dataDxfId="31" totalsRowDxfId="22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242ECD3-BCF6-43C1-A7FE-F972EC310C52}" name="М" displayName="М" ref="A3:I48" totalsRowCount="1" headerRowDxfId="13" headerRowBorderDxfId="20" tableBorderDxfId="21" totalsRowBorderDxfId="19">
  <autoFilter ref="A3:I47" xr:uid="{7242ECD3-BCF6-43C1-A7FE-F972EC310C52}"/>
  <tableColumns count="9">
    <tableColumn id="1" xr3:uid="{10F179EA-6810-40BF-A211-DEC53B70E093}" name="Наим." totalsRowLabel="Итог" dataDxfId="18" totalsRowDxfId="8"/>
    <tableColumn id="2" xr3:uid="{18441ABD-E6F3-4592-9DAA-98587E4BA518}" name="Артикул, марка, произв." dataDxfId="17" totalsRowDxfId="7"/>
    <tableColumn id="3" xr3:uid="{5BE9F9CC-3945-4E00-A874-1837152981A4}" name="Хар-ка" dataDxfId="16" totalsRowDxfId="6"/>
    <tableColumn id="4" xr3:uid="{97CC2DF6-D0CF-4B91-A377-1E7AEDA8BD68}" name="Ед. изм." dataDxfId="15" totalsRowDxfId="5"/>
    <tableColumn id="5" xr3:uid="{96DC84BD-8D76-494B-A2E2-ECC0084DB5AA}" name="Количество" dataDxfId="11" totalsRowDxfId="4"/>
    <tableColumn id="6" xr3:uid="{89A1AD57-6710-44AB-BA37-69D193CA5C53}" name="Цена за ед., руб" dataDxfId="10" totalsRowDxfId="3"/>
    <tableColumn id="7" xr3:uid="{2869F10D-798C-4D42-8DD4-CDD7F18308A2}" name="Сумма, руб" totalsRowFunction="sum" dataDxfId="9" totalsRowDxfId="2">
      <calculatedColumnFormula>ROUND(М[[#This Row],[Количество]]*М[[#This Row],[Цена за ед., руб]],2)</calculatedColumnFormula>
    </tableColumn>
    <tableColumn id="8" xr3:uid="{62B20AD2-D06D-4488-86F8-98D311B93141}" name="Прим." dataDxfId="12" totalsRowDxfId="1"/>
    <tableColumn id="9" xr3:uid="{DA8F050C-9835-479C-97CB-97B303B63D22}" name="Форма закупа" dataDxfId="14" totalsRow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O167"/>
  <sheetViews>
    <sheetView tabSelected="1" workbookViewId="0">
      <pane ySplit="7" topLeftCell="A8" activePane="bottomLeft" state="frozen"/>
      <selection pane="bottomLeft" activeCell="A8" sqref="A8"/>
    </sheetView>
  </sheetViews>
  <sheetFormatPr defaultColWidth="10.42578125" defaultRowHeight="11.4" customHeight="1" outlineLevelRow="4" x14ac:dyDescent="0.2"/>
  <cols>
    <col min="1" max="1" width="9.85546875" style="1" customWidth="1"/>
    <col min="2" max="2" width="36" style="1" customWidth="1"/>
    <col min="3" max="3" width="15.85546875" style="1" customWidth="1"/>
    <col min="4" max="4" width="17" style="1" customWidth="1"/>
    <col min="5" max="5" width="10" style="1" customWidth="1"/>
    <col min="6" max="6" width="9.7109375" style="1" customWidth="1"/>
    <col min="7" max="10" width="10.42578125" style="1" customWidth="1"/>
    <col min="11" max="11" width="14.7109375" style="1" customWidth="1"/>
    <col min="12" max="12" width="16" style="1" customWidth="1"/>
    <col min="13" max="13" width="17" style="1" customWidth="1"/>
    <col min="14" max="14" width="35" style="1" customWidth="1"/>
    <col min="15" max="15" width="23.28515625" style="1" customWidth="1"/>
  </cols>
  <sheetData>
    <row r="1" spans="1:15" ht="10.95" customHeight="1" x14ac:dyDescent="0.2"/>
    <row r="2" spans="1:15" ht="10.95" customHeight="1" x14ac:dyDescent="0.2">
      <c r="B2" s="50" t="s">
        <v>0</v>
      </c>
      <c r="C2" s="50"/>
      <c r="D2" s="50"/>
      <c r="E2" s="50"/>
      <c r="F2" s="50"/>
      <c r="G2" s="50"/>
      <c r="H2" s="50"/>
      <c r="I2" s="50"/>
      <c r="J2" s="50"/>
    </row>
    <row r="3" spans="1:15" ht="22.95" customHeight="1" x14ac:dyDescent="0.2">
      <c r="B3" s="51" t="s">
        <v>1</v>
      </c>
      <c r="C3" s="51"/>
      <c r="D3" s="51"/>
      <c r="E3" s="51"/>
      <c r="F3" s="51"/>
      <c r="G3" s="51"/>
      <c r="H3" s="51"/>
      <c r="I3" s="51"/>
      <c r="J3" s="51"/>
    </row>
    <row r="4" spans="1:15" ht="22.95" customHeight="1" x14ac:dyDescent="0.2">
      <c r="B4" s="51" t="s">
        <v>2</v>
      </c>
      <c r="C4" s="51"/>
      <c r="D4" s="51"/>
      <c r="E4" s="51"/>
      <c r="F4" s="51"/>
      <c r="G4" s="51"/>
      <c r="H4" s="51"/>
      <c r="I4" s="51"/>
      <c r="J4" s="51"/>
    </row>
    <row r="5" spans="1:15" ht="10.95" customHeight="1" x14ac:dyDescent="0.2"/>
    <row r="6" spans="1:15" ht="10.95" customHeight="1" x14ac:dyDescent="0.2">
      <c r="A6" s="52" t="s">
        <v>3</v>
      </c>
      <c r="B6" s="52" t="s">
        <v>4</v>
      </c>
      <c r="C6" s="54" t="s">
        <v>5</v>
      </c>
      <c r="D6" s="56" t="s">
        <v>6</v>
      </c>
      <c r="E6" s="52" t="s">
        <v>7</v>
      </c>
      <c r="F6" s="58" t="s">
        <v>8</v>
      </c>
      <c r="G6" s="60" t="s">
        <v>9</v>
      </c>
      <c r="H6" s="60" t="s">
        <v>10</v>
      </c>
      <c r="I6" s="60" t="s">
        <v>11</v>
      </c>
      <c r="J6" s="60" t="s">
        <v>12</v>
      </c>
      <c r="K6" s="52" t="s">
        <v>13</v>
      </c>
      <c r="L6" s="58" t="s">
        <v>14</v>
      </c>
      <c r="M6" s="58" t="s">
        <v>15</v>
      </c>
      <c r="N6" s="52" t="s">
        <v>16</v>
      </c>
      <c r="O6" s="58" t="s">
        <v>17</v>
      </c>
    </row>
    <row r="7" spans="1:15" ht="10.95" customHeight="1" x14ac:dyDescent="0.2">
      <c r="A7" s="53"/>
      <c r="B7" s="53"/>
      <c r="C7" s="55"/>
      <c r="D7" s="57"/>
      <c r="E7" s="53"/>
      <c r="F7" s="59"/>
      <c r="G7" s="61"/>
      <c r="H7" s="61"/>
      <c r="I7" s="61"/>
      <c r="J7" s="61"/>
      <c r="K7" s="53"/>
      <c r="L7" s="59"/>
      <c r="M7" s="59"/>
      <c r="N7" s="53"/>
      <c r="O7" s="59"/>
    </row>
    <row r="8" spans="1:15" ht="10.95" customHeight="1" x14ac:dyDescent="0.2">
      <c r="A8" s="3" t="s">
        <v>18</v>
      </c>
      <c r="B8" s="4" t="s">
        <v>19</v>
      </c>
      <c r="C8" s="5"/>
      <c r="D8" s="5"/>
      <c r="E8" s="6"/>
      <c r="F8" s="7"/>
      <c r="G8" s="7"/>
      <c r="H8" s="7"/>
      <c r="I8" s="7"/>
      <c r="J8" s="7"/>
      <c r="K8" s="7"/>
      <c r="L8" s="82"/>
      <c r="M8" s="82"/>
      <c r="N8" s="5"/>
      <c r="O8" s="5"/>
    </row>
    <row r="9" spans="1:15" ht="22.95" customHeight="1" outlineLevel="1" x14ac:dyDescent="0.2">
      <c r="A9" s="8" t="s">
        <v>20</v>
      </c>
      <c r="B9" s="9" t="s">
        <v>21</v>
      </c>
      <c r="C9" s="10"/>
      <c r="D9" s="10"/>
      <c r="E9" s="11"/>
      <c r="F9" s="12"/>
      <c r="G9" s="12"/>
      <c r="H9" s="12"/>
      <c r="I9" s="12"/>
      <c r="J9" s="12"/>
      <c r="K9" s="12"/>
      <c r="L9" s="83"/>
      <c r="M9" s="83">
        <f>SUM($M$144,$M$32,$M$10)</f>
        <v>0</v>
      </c>
      <c r="N9" s="10"/>
      <c r="O9" s="10"/>
    </row>
    <row r="10" spans="1:15" ht="10.95" customHeight="1" outlineLevel="2" x14ac:dyDescent="0.2">
      <c r="A10" s="13" t="s">
        <v>22</v>
      </c>
      <c r="B10" s="14" t="s">
        <v>23</v>
      </c>
      <c r="C10" s="15"/>
      <c r="D10" s="15"/>
      <c r="E10" s="16"/>
      <c r="F10" s="17"/>
      <c r="G10" s="18"/>
      <c r="H10" s="18"/>
      <c r="I10" s="18"/>
      <c r="J10" s="18"/>
      <c r="K10" s="18"/>
      <c r="L10" s="84"/>
      <c r="M10" s="84">
        <f>SUM($M$11)</f>
        <v>0</v>
      </c>
      <c r="N10" s="19"/>
      <c r="O10" s="19"/>
    </row>
    <row r="11" spans="1:15" ht="10.95" customHeight="1" outlineLevel="3" x14ac:dyDescent="0.2">
      <c r="A11" s="13" t="s">
        <v>24</v>
      </c>
      <c r="B11" s="14" t="s">
        <v>23</v>
      </c>
      <c r="C11" s="15"/>
      <c r="D11" s="15"/>
      <c r="E11" s="16"/>
      <c r="F11" s="17"/>
      <c r="G11" s="18"/>
      <c r="H11" s="18"/>
      <c r="I11" s="18"/>
      <c r="J11" s="18"/>
      <c r="K11" s="18"/>
      <c r="L11" s="84"/>
      <c r="M11" s="84">
        <f>SUM($M$24,$M$22,$M$14,$M$12)</f>
        <v>0</v>
      </c>
      <c r="N11" s="19"/>
      <c r="O11" s="19"/>
    </row>
    <row r="12" spans="1:15" ht="10.95" customHeight="1" outlineLevel="4" x14ac:dyDescent="0.2">
      <c r="A12" s="20"/>
      <c r="B12" s="14" t="s">
        <v>25</v>
      </c>
      <c r="C12" s="21"/>
      <c r="D12" s="21"/>
      <c r="E12" s="21"/>
      <c r="F12" s="21"/>
      <c r="G12" s="21"/>
      <c r="H12" s="21"/>
      <c r="I12" s="21"/>
      <c r="J12" s="21"/>
      <c r="K12" s="21"/>
      <c r="L12" s="85"/>
      <c r="M12" s="86">
        <f>SUM($M$13)</f>
        <v>0</v>
      </c>
      <c r="N12" s="18"/>
      <c r="O12" s="22"/>
    </row>
    <row r="13" spans="1:15" ht="22.95" customHeight="1" outlineLevel="4" x14ac:dyDescent="0.2">
      <c r="A13" s="23"/>
      <c r="B13" s="24" t="s">
        <v>26</v>
      </c>
      <c r="C13" s="25"/>
      <c r="D13" s="25"/>
      <c r="E13" s="26" t="s">
        <v>27</v>
      </c>
      <c r="F13" s="27"/>
      <c r="G13" s="28">
        <v>52.93</v>
      </c>
      <c r="H13" s="28">
        <v>52.93</v>
      </c>
      <c r="I13" s="28">
        <v>52.93</v>
      </c>
      <c r="J13" s="28">
        <v>52.93</v>
      </c>
      <c r="K13" s="28">
        <f>SUM($G$13:$J$13)</f>
        <v>211.72</v>
      </c>
      <c r="L13" s="32">
        <f t="array" ref="L13">INDEX(Р[Цена за ед., руб],MATCH(1,IF(($B13=Р[Наименование])*($N13=Р[Примечание]),{1},($B13=Р[Наименование])*($N13=Р[Примечание])),0))</f>
        <v>0</v>
      </c>
      <c r="M13" s="32">
        <f>ROUND($K$13*$L$13,2)</f>
        <v>0</v>
      </c>
      <c r="N13" s="25" t="s">
        <v>28</v>
      </c>
      <c r="O13" s="25"/>
    </row>
    <row r="14" spans="1:15" ht="10.95" customHeight="1" outlineLevel="4" x14ac:dyDescent="0.2">
      <c r="A14" s="20"/>
      <c r="B14" s="14" t="s">
        <v>29</v>
      </c>
      <c r="C14" s="21"/>
      <c r="D14" s="21"/>
      <c r="E14" s="21"/>
      <c r="F14" s="21"/>
      <c r="G14" s="21"/>
      <c r="H14" s="21"/>
      <c r="I14" s="21"/>
      <c r="J14" s="21"/>
      <c r="K14" s="21"/>
      <c r="L14" s="85"/>
      <c r="M14" s="86">
        <f>SUM($M$15:$M$21)</f>
        <v>0</v>
      </c>
      <c r="N14" s="18"/>
      <c r="O14" s="22"/>
    </row>
    <row r="15" spans="1:15" ht="22.95" customHeight="1" outlineLevel="4" x14ac:dyDescent="0.2">
      <c r="A15" s="23" t="s">
        <v>30</v>
      </c>
      <c r="B15" s="24" t="s">
        <v>31</v>
      </c>
      <c r="C15" s="25"/>
      <c r="D15" s="25" t="s">
        <v>32</v>
      </c>
      <c r="E15" s="26" t="s">
        <v>33</v>
      </c>
      <c r="F15" s="29">
        <v>1.0149999999999999</v>
      </c>
      <c r="G15" s="29">
        <v>1.4E-2</v>
      </c>
      <c r="H15" s="29">
        <v>1.4E-2</v>
      </c>
      <c r="I15" s="29">
        <v>1.4E-2</v>
      </c>
      <c r="J15" s="29">
        <v>1.4E-2</v>
      </c>
      <c r="K15" s="29">
        <f>SUM($G$15:$J$15)</f>
        <v>5.6000000000000001E-2</v>
      </c>
      <c r="L15" s="32">
        <f t="array" ref="L15">INDEX(М[Цена за ед., руб],MATCH(1,IF(($B15=М[Наим.])*($C15=М[Артикул, марка, произв.])*($D15=М[Хар-ка])*($N15=М[Прим.]),{1},($B15=М[Наим.])*($C15=М[Артикул, марка, произв.])*($D15=М[Хар-ка])*($N15=М[Прим.])),0))</f>
        <v>0</v>
      </c>
      <c r="M15" s="32">
        <f>ROUND($K$15*$L$15,2)</f>
        <v>0</v>
      </c>
      <c r="N15" s="25"/>
      <c r="O15" s="25" t="str">
        <f t="array" ref="O15">INDEX(М[Форма закупа],MATCH(1,IF(($B15=М[Наим.])*($C15=М[Артикул, марка, произв.])*($D15=М[Хар-ка])*($N15=М[Прим.]),{1},($B15=М[Наим.])*($C15=М[Артикул, марка, произв.])*($D15=М[Хар-ка])*($N15=М[Прим.])),0))</f>
        <v>Закупка подрядчик</v>
      </c>
    </row>
    <row r="16" spans="1:15" ht="10.95" customHeight="1" outlineLevel="4" x14ac:dyDescent="0.2">
      <c r="A16" s="23" t="s">
        <v>34</v>
      </c>
      <c r="B16" s="24" t="s">
        <v>35</v>
      </c>
      <c r="C16" s="25"/>
      <c r="D16" s="25" t="s">
        <v>36</v>
      </c>
      <c r="E16" s="26" t="s">
        <v>27</v>
      </c>
      <c r="F16" s="29">
        <v>1.0149999999999999</v>
      </c>
      <c r="G16" s="28">
        <v>38.21</v>
      </c>
      <c r="H16" s="28">
        <v>38.21</v>
      </c>
      <c r="I16" s="28">
        <v>38.21</v>
      </c>
      <c r="J16" s="28">
        <v>38.21</v>
      </c>
      <c r="K16" s="28">
        <f>SUM($G$16:$J$16)</f>
        <v>152.84</v>
      </c>
      <c r="L16" s="32">
        <f t="array" ref="L16">INDEX(М[Цена за ед., руб],MATCH(1,IF(($B16=М[Наим.])*($C16=М[Артикул, марка, произв.])*($D16=М[Хар-ка])*($N16=М[Прим.]),{1},($B16=М[Наим.])*($C16=М[Артикул, марка, произв.])*($D16=М[Хар-ка])*($N16=М[Прим.])),0))</f>
        <v>0</v>
      </c>
      <c r="M16" s="32">
        <f>ROUND($K$16*$L$16,2)</f>
        <v>0</v>
      </c>
      <c r="N16" s="25"/>
      <c r="O16" s="25" t="str">
        <f t="array" ref="O16">INDEX(М[Форма закупа],MATCH(1,IF(($B16=М[Наим.])*($C16=М[Артикул, марка, произв.])*($D16=М[Хар-ка])*($N16=М[Прим.]),{1},($B16=М[Наим.])*($C16=М[Артикул, марка, произв.])*($D16=М[Хар-ка])*($N16=М[Прим.])),0))</f>
        <v>Закупка подрядчик</v>
      </c>
    </row>
    <row r="17" spans="1:15" ht="46.95" customHeight="1" outlineLevel="4" x14ac:dyDescent="0.2">
      <c r="A17" s="23" t="s">
        <v>37</v>
      </c>
      <c r="B17" s="24" t="s">
        <v>38</v>
      </c>
      <c r="C17" s="25"/>
      <c r="D17" s="25" t="s">
        <v>39</v>
      </c>
      <c r="E17" s="26" t="s">
        <v>40</v>
      </c>
      <c r="F17" s="29">
        <v>0.14000000000000001</v>
      </c>
      <c r="G17" s="28">
        <v>0.28000000000000003</v>
      </c>
      <c r="H17" s="28">
        <v>0.28000000000000003</v>
      </c>
      <c r="I17" s="28">
        <v>0.28000000000000003</v>
      </c>
      <c r="J17" s="28">
        <v>0.28000000000000003</v>
      </c>
      <c r="K17" s="28">
        <f>SUM($G$17:$J$17)</f>
        <v>1.1200000000000001</v>
      </c>
      <c r="L17" s="32">
        <f t="array" ref="L17">INDEX(М[Цена за ед., руб],MATCH(1,IF(($B17=М[Наим.])*($C17=М[Артикул, марка, произв.])*($D17=М[Хар-ка])*($N17=М[Прим.]),{1},($B17=М[Наим.])*($C17=М[Артикул, марка, произв.])*($D17=М[Хар-ка])*($N17=М[Прим.])),0))</f>
        <v>0</v>
      </c>
      <c r="M17" s="32">
        <f>ROUND($K$17*$L$17,2)</f>
        <v>0</v>
      </c>
      <c r="N17" s="25"/>
      <c r="O17" s="25" t="str">
        <f t="array" ref="O17">INDEX(М[Форма закупа],MATCH(1,IF(($B17=М[Наим.])*($C17=М[Артикул, марка, произв.])*($D17=М[Хар-ка])*($N17=М[Прим.]),{1},($B17=М[Наим.])*($C17=М[Артикул, марка, произв.])*($D17=М[Хар-ка])*($N17=М[Прим.])),0))</f>
        <v>Закупка подрядчик</v>
      </c>
    </row>
    <row r="18" spans="1:15" ht="10.95" customHeight="1" outlineLevel="4" x14ac:dyDescent="0.2">
      <c r="A18" s="23" t="s">
        <v>41</v>
      </c>
      <c r="B18" s="24" t="s">
        <v>42</v>
      </c>
      <c r="C18" s="25"/>
      <c r="D18" s="25" t="s">
        <v>43</v>
      </c>
      <c r="E18" s="26" t="s">
        <v>27</v>
      </c>
      <c r="F18" s="29">
        <v>7.6999999999999999E-2</v>
      </c>
      <c r="G18" s="28">
        <v>0.16</v>
      </c>
      <c r="H18" s="28">
        <v>0.16</v>
      </c>
      <c r="I18" s="28">
        <v>0.16</v>
      </c>
      <c r="J18" s="28">
        <v>0.16</v>
      </c>
      <c r="K18" s="28">
        <f>SUM($G$18:$J$18)</f>
        <v>0.64</v>
      </c>
      <c r="L18" s="32">
        <f t="array" ref="L18">INDEX(М[Цена за ед., руб],MATCH(1,IF(($B18=М[Наим.])*($C18=М[Артикул, марка, произв.])*($D18=М[Хар-ка])*($N18=М[Прим.]),{1},($B18=М[Наим.])*($C18=М[Артикул, марка, произв.])*($D18=М[Хар-ка])*($N18=М[Прим.])),0))</f>
        <v>0</v>
      </c>
      <c r="M18" s="32">
        <f>ROUND($K$18*$L$18,2)</f>
        <v>0</v>
      </c>
      <c r="N18" s="25"/>
      <c r="O18" s="25" t="str">
        <f t="array" ref="O18">INDEX(М[Форма закупа],MATCH(1,IF(($B18=М[Наим.])*($C18=М[Артикул, марка, произв.])*($D18=М[Хар-ка])*($N18=М[Прим.]),{1},($B18=М[Наим.])*($C18=М[Артикул, марка, произв.])*($D18=М[Хар-ка])*($N18=М[Прим.])),0))</f>
        <v>Закупка подрядчик</v>
      </c>
    </row>
    <row r="19" spans="1:15" ht="10.95" customHeight="1" outlineLevel="4" x14ac:dyDescent="0.2">
      <c r="A19" s="23" t="s">
        <v>44</v>
      </c>
      <c r="B19" s="24" t="s">
        <v>45</v>
      </c>
      <c r="C19" s="25"/>
      <c r="D19" s="25" t="s">
        <v>46</v>
      </c>
      <c r="E19" s="26" t="s">
        <v>47</v>
      </c>
      <c r="F19" s="27"/>
      <c r="G19" s="30">
        <v>4</v>
      </c>
      <c r="H19" s="30">
        <v>4</v>
      </c>
      <c r="I19" s="30">
        <v>4</v>
      </c>
      <c r="J19" s="30">
        <v>4</v>
      </c>
      <c r="K19" s="30">
        <f>SUM($G$19:$J$19)</f>
        <v>16</v>
      </c>
      <c r="L19" s="32">
        <f t="array" ref="L19">INDEX(М[Цена за ед., руб],MATCH(1,IF(($B19=М[Наим.])*($C19=М[Артикул, марка, произв.])*($D19=М[Хар-ка])*($N19=М[Прим.]),{1},($B19=М[Наим.])*($C19=М[Артикул, марка, произв.])*($D19=М[Хар-ка])*($N19=М[Прим.])),0))</f>
        <v>0</v>
      </c>
      <c r="M19" s="32">
        <f>ROUND($K$19*$L$19,2)</f>
        <v>0</v>
      </c>
      <c r="N19" s="25"/>
      <c r="O19" s="25" t="str">
        <f t="array" ref="O19">INDEX(М[Форма закупа],MATCH(1,IF(($B19=М[Наим.])*($C19=М[Артикул, марка, произв.])*($D19=М[Хар-ка])*($N19=М[Прим.]),{1},($B19=М[Наим.])*($C19=М[Артикул, марка, произв.])*($D19=М[Хар-ка])*($N19=М[Прим.])),0))</f>
        <v>Закупка подрядчик</v>
      </c>
    </row>
    <row r="20" spans="1:15" ht="10.95" customHeight="1" outlineLevel="4" x14ac:dyDescent="0.2">
      <c r="A20" s="23" t="s">
        <v>48</v>
      </c>
      <c r="B20" s="24" t="s">
        <v>49</v>
      </c>
      <c r="C20" s="25"/>
      <c r="D20" s="25" t="s">
        <v>50</v>
      </c>
      <c r="E20" s="26" t="s">
        <v>27</v>
      </c>
      <c r="F20" s="29">
        <v>1.4999999999999999E-2</v>
      </c>
      <c r="G20" s="28">
        <v>0.79</v>
      </c>
      <c r="H20" s="28">
        <v>0.79</v>
      </c>
      <c r="I20" s="28">
        <v>0.79</v>
      </c>
      <c r="J20" s="28">
        <v>0.79</v>
      </c>
      <c r="K20" s="28">
        <f>SUM($G$20:$J$20)</f>
        <v>3.16</v>
      </c>
      <c r="L20" s="32">
        <f t="array" ref="L20">INDEX(М[Цена за ед., руб],MATCH(1,IF(($B20=М[Наим.])*($C20=М[Артикул, марка, произв.])*($D20=М[Хар-ка])*($N20=М[Прим.]),{1},($B20=М[Наим.])*($C20=М[Артикул, марка, произв.])*($D20=М[Хар-ка])*($N20=М[Прим.])),0))</f>
        <v>0</v>
      </c>
      <c r="M20" s="32">
        <f>ROUND($K$20*$L$20,2)</f>
        <v>0</v>
      </c>
      <c r="N20" s="25"/>
      <c r="O20" s="25" t="str">
        <f t="array" ref="O20">INDEX(М[Форма закупа],MATCH(1,IF(($B20=М[Наим.])*($C20=М[Артикул, марка, произв.])*($D20=М[Хар-ка])*($N20=М[Прим.]),{1},($B20=М[Наим.])*($C20=М[Артикул, марка, произв.])*($D20=М[Хар-ка])*($N20=М[Прим.])),0))</f>
        <v>Закупка подрядчик</v>
      </c>
    </row>
    <row r="21" spans="1:15" ht="22.95" customHeight="1" outlineLevel="4" x14ac:dyDescent="0.2">
      <c r="A21" s="23" t="s">
        <v>51</v>
      </c>
      <c r="B21" s="24" t="s">
        <v>52</v>
      </c>
      <c r="C21" s="25"/>
      <c r="D21" s="25" t="s">
        <v>53</v>
      </c>
      <c r="E21" s="26" t="s">
        <v>27</v>
      </c>
      <c r="F21" s="29">
        <v>1.0149999999999999</v>
      </c>
      <c r="G21" s="28">
        <v>1.91</v>
      </c>
      <c r="H21" s="28">
        <v>1.91</v>
      </c>
      <c r="I21" s="28">
        <v>1.91</v>
      </c>
      <c r="J21" s="28">
        <v>1.91</v>
      </c>
      <c r="K21" s="28">
        <f>SUM($G$21:$J$21)</f>
        <v>7.64</v>
      </c>
      <c r="L21" s="32">
        <f t="array" ref="L21">INDEX(М[Цена за ед., руб],MATCH(1,IF(($B21=М[Наим.])*($C21=М[Артикул, марка, произв.])*($D21=М[Хар-ка])*($N21=М[Прим.]),{1},($B21=М[Наим.])*($C21=М[Артикул, марка, произв.])*($D21=М[Хар-ка])*($N21=М[Прим.])),0))</f>
        <v>0</v>
      </c>
      <c r="M21" s="32">
        <f>ROUND($K$21*$L$21,2)</f>
        <v>0</v>
      </c>
      <c r="N21" s="25"/>
      <c r="O21" s="25" t="str">
        <f t="array" ref="O21">INDEX(М[Форма закупа],MATCH(1,IF(($B21=М[Наим.])*($C21=М[Артикул, марка, произв.])*($D21=М[Хар-ка])*($N21=М[Прим.]),{1},($B21=М[Наим.])*($C21=М[Артикул, марка, произв.])*($D21=М[Хар-ка])*($N21=М[Прим.])),0))</f>
        <v>Закупка подрядчик</v>
      </c>
    </row>
    <row r="22" spans="1:15" ht="10.95" customHeight="1" outlineLevel="4" x14ac:dyDescent="0.2">
      <c r="A22" s="20"/>
      <c r="B22" s="14" t="s">
        <v>25</v>
      </c>
      <c r="C22" s="21"/>
      <c r="D22" s="21"/>
      <c r="E22" s="21"/>
      <c r="F22" s="21"/>
      <c r="G22" s="21"/>
      <c r="H22" s="21"/>
      <c r="I22" s="21"/>
      <c r="J22" s="21"/>
      <c r="K22" s="21"/>
      <c r="L22" s="85"/>
      <c r="M22" s="86">
        <f>SUM($M$23)</f>
        <v>0</v>
      </c>
      <c r="N22" s="18"/>
      <c r="O22" s="22"/>
    </row>
    <row r="23" spans="1:15" ht="22.95" customHeight="1" outlineLevel="4" x14ac:dyDescent="0.2">
      <c r="A23" s="23"/>
      <c r="B23" s="24" t="s">
        <v>54</v>
      </c>
      <c r="C23" s="25"/>
      <c r="D23" s="25"/>
      <c r="E23" s="26" t="s">
        <v>27</v>
      </c>
      <c r="F23" s="27"/>
      <c r="G23" s="28">
        <v>158.44999999999999</v>
      </c>
      <c r="H23" s="28">
        <v>158.44999999999999</v>
      </c>
      <c r="I23" s="28">
        <v>158.44999999999999</v>
      </c>
      <c r="J23" s="28">
        <v>158.44999999999999</v>
      </c>
      <c r="K23" s="31">
        <f>SUM($G$23:$J$23)</f>
        <v>633.79999999999995</v>
      </c>
      <c r="L23" s="32">
        <f t="array" ref="L23">INDEX(Р[Цена за ед., руб],MATCH(1,IF(($B23=Р[Наименование])*($N23=Р[Примечание]),{1},($B23=Р[Наименование])*($N23=Р[Примечание])),0))</f>
        <v>0</v>
      </c>
      <c r="M23" s="32">
        <f>ROUND($K$23*$L$23,2)</f>
        <v>0</v>
      </c>
      <c r="N23" s="25" t="s">
        <v>55</v>
      </c>
      <c r="O23" s="25"/>
    </row>
    <row r="24" spans="1:15" ht="10.95" customHeight="1" outlineLevel="4" x14ac:dyDescent="0.2">
      <c r="A24" s="20"/>
      <c r="B24" s="14" t="s">
        <v>29</v>
      </c>
      <c r="C24" s="21"/>
      <c r="D24" s="21"/>
      <c r="E24" s="21"/>
      <c r="F24" s="21"/>
      <c r="G24" s="21"/>
      <c r="H24" s="21"/>
      <c r="I24" s="21"/>
      <c r="J24" s="21"/>
      <c r="K24" s="21"/>
      <c r="L24" s="85"/>
      <c r="M24" s="86">
        <f>SUM($M$25:$M$31)</f>
        <v>0</v>
      </c>
      <c r="N24" s="18"/>
      <c r="O24" s="22"/>
    </row>
    <row r="25" spans="1:15" ht="22.95" customHeight="1" outlineLevel="4" x14ac:dyDescent="0.2">
      <c r="A25" s="23" t="s">
        <v>30</v>
      </c>
      <c r="B25" s="24" t="s">
        <v>31</v>
      </c>
      <c r="C25" s="25"/>
      <c r="D25" s="25" t="s">
        <v>32</v>
      </c>
      <c r="E25" s="26" t="s">
        <v>33</v>
      </c>
      <c r="F25" s="29">
        <v>1.0149999999999999</v>
      </c>
      <c r="G25" s="29">
        <v>3.3000000000000002E-2</v>
      </c>
      <c r="H25" s="29">
        <v>3.3000000000000002E-2</v>
      </c>
      <c r="I25" s="29">
        <v>3.3000000000000002E-2</v>
      </c>
      <c r="J25" s="29">
        <v>3.3000000000000002E-2</v>
      </c>
      <c r="K25" s="29">
        <f>SUM($G$25:$J$25)</f>
        <v>0.13200000000000001</v>
      </c>
      <c r="L25" s="32">
        <f t="array" ref="L25">INDEX(М[Цена за ед., руб],MATCH(1,IF(($B25=М[Наим.])*($C25=М[Артикул, марка, произв.])*($D25=М[Хар-ка])*($N25=М[Прим.]),{1},($B25=М[Наим.])*($C25=М[Артикул, марка, произв.])*($D25=М[Хар-ка])*($N25=М[Прим.])),0))</f>
        <v>0</v>
      </c>
      <c r="M25" s="32">
        <f>ROUND($K$25*$L$25,2)</f>
        <v>0</v>
      </c>
      <c r="N25" s="25"/>
      <c r="O25" s="25" t="str">
        <f t="array" ref="O25">INDEX(М[Форма закупа],MATCH(1,IF(($B25=М[Наим.])*($C25=М[Артикул, марка, произв.])*($D25=М[Хар-ка])*($N25=М[Прим.]),{1},($B25=М[Наим.])*($C25=М[Артикул, марка, произв.])*($D25=М[Хар-ка])*($N25=М[Прим.])),0))</f>
        <v>Закупка подрядчик</v>
      </c>
    </row>
    <row r="26" spans="1:15" ht="10.95" customHeight="1" outlineLevel="4" x14ac:dyDescent="0.2">
      <c r="A26" s="23" t="s">
        <v>34</v>
      </c>
      <c r="B26" s="24" t="s">
        <v>35</v>
      </c>
      <c r="C26" s="25"/>
      <c r="D26" s="25" t="s">
        <v>36</v>
      </c>
      <c r="E26" s="26" t="s">
        <v>27</v>
      </c>
      <c r="F26" s="29">
        <v>1.0149999999999999</v>
      </c>
      <c r="G26" s="31">
        <v>92.6</v>
      </c>
      <c r="H26" s="31">
        <v>92.6</v>
      </c>
      <c r="I26" s="31">
        <v>92.6</v>
      </c>
      <c r="J26" s="31">
        <v>92.6</v>
      </c>
      <c r="K26" s="31">
        <f>SUM($G$26:$J$26)</f>
        <v>370.4</v>
      </c>
      <c r="L26" s="32">
        <f t="array" ref="L26">INDEX(М[Цена за ед., руб],MATCH(1,IF(($B26=М[Наим.])*($C26=М[Артикул, марка, произв.])*($D26=М[Хар-ка])*($N26=М[Прим.]),{1},($B26=М[Наим.])*($C26=М[Артикул, марка, произв.])*($D26=М[Хар-ка])*($N26=М[Прим.])),0))</f>
        <v>0</v>
      </c>
      <c r="M26" s="32">
        <f>ROUND($K$26*$L$26,2)</f>
        <v>0</v>
      </c>
      <c r="N26" s="25"/>
      <c r="O26" s="25" t="str">
        <f t="array" ref="O26">INDEX(М[Форма закупа],MATCH(1,IF(($B26=М[Наим.])*($C26=М[Артикул, марка, произв.])*($D26=М[Хар-ка])*($N26=М[Прим.]),{1},($B26=М[Наим.])*($C26=М[Артикул, марка, произв.])*($D26=М[Хар-ка])*($N26=М[Прим.])),0))</f>
        <v>Закупка подрядчик</v>
      </c>
    </row>
    <row r="27" spans="1:15" ht="46.95" customHeight="1" outlineLevel="4" x14ac:dyDescent="0.2">
      <c r="A27" s="23" t="s">
        <v>37</v>
      </c>
      <c r="B27" s="24" t="s">
        <v>38</v>
      </c>
      <c r="C27" s="25"/>
      <c r="D27" s="25" t="s">
        <v>39</v>
      </c>
      <c r="E27" s="26" t="s">
        <v>40</v>
      </c>
      <c r="F27" s="29">
        <v>0.14000000000000001</v>
      </c>
      <c r="G27" s="28">
        <v>0.82</v>
      </c>
      <c r="H27" s="28">
        <v>0.82</v>
      </c>
      <c r="I27" s="28">
        <v>0.82</v>
      </c>
      <c r="J27" s="28">
        <v>0.82</v>
      </c>
      <c r="K27" s="28">
        <f>SUM($G$27:$J$27)</f>
        <v>3.28</v>
      </c>
      <c r="L27" s="32">
        <f t="array" ref="L27">INDEX(М[Цена за ед., руб],MATCH(1,IF(($B27=М[Наим.])*($C27=М[Артикул, марка, произв.])*($D27=М[Хар-ка])*($N27=М[Прим.]),{1},($B27=М[Наим.])*($C27=М[Артикул, марка, произв.])*($D27=М[Хар-ка])*($N27=М[Прим.])),0))</f>
        <v>0</v>
      </c>
      <c r="M27" s="32">
        <f>ROUND($K$27*$L$27,2)</f>
        <v>0</v>
      </c>
      <c r="N27" s="25"/>
      <c r="O27" s="25" t="str">
        <f t="array" ref="O27">INDEX(М[Форма закупа],MATCH(1,IF(($B27=М[Наим.])*($C27=М[Артикул, марка, произв.])*($D27=М[Хар-ка])*($N27=М[Прим.]),{1},($B27=М[Наим.])*($C27=М[Артикул, марка, произв.])*($D27=М[Хар-ка])*($N27=М[Прим.])),0))</f>
        <v>Закупка подрядчик</v>
      </c>
    </row>
    <row r="28" spans="1:15" ht="10.95" customHeight="1" outlineLevel="4" x14ac:dyDescent="0.2">
      <c r="A28" s="23" t="s">
        <v>41</v>
      </c>
      <c r="B28" s="24" t="s">
        <v>42</v>
      </c>
      <c r="C28" s="25"/>
      <c r="D28" s="25" t="s">
        <v>43</v>
      </c>
      <c r="E28" s="26" t="s">
        <v>27</v>
      </c>
      <c r="F28" s="29">
        <v>7.6999999999999999E-2</v>
      </c>
      <c r="G28" s="28">
        <v>0.45</v>
      </c>
      <c r="H28" s="28">
        <v>0.45</v>
      </c>
      <c r="I28" s="28">
        <v>0.45</v>
      </c>
      <c r="J28" s="28">
        <v>0.45</v>
      </c>
      <c r="K28" s="31">
        <f>SUM($G$28:$J$28)</f>
        <v>1.8</v>
      </c>
      <c r="L28" s="32">
        <f t="array" ref="L28">INDEX(М[Цена за ед., руб],MATCH(1,IF(($B28=М[Наим.])*($C28=М[Артикул, марка, произв.])*($D28=М[Хар-ка])*($N28=М[Прим.]),{1},($B28=М[Наим.])*($C28=М[Артикул, марка, произв.])*($D28=М[Хар-ка])*($N28=М[Прим.])),0))</f>
        <v>0</v>
      </c>
      <c r="M28" s="32">
        <f>ROUND($K$28*$L$28,2)</f>
        <v>0</v>
      </c>
      <c r="N28" s="25"/>
      <c r="O28" s="25" t="str">
        <f t="array" ref="O28">INDEX(М[Форма закупа],MATCH(1,IF(($B28=М[Наим.])*($C28=М[Артикул, марка, произв.])*($D28=М[Хар-ка])*($N28=М[Прим.]),{1},($B28=М[Наим.])*($C28=М[Артикул, марка, произв.])*($D28=М[Хар-ка])*($N28=М[Прим.])),0))</f>
        <v>Закупка подрядчик</v>
      </c>
    </row>
    <row r="29" spans="1:15" ht="22.95" customHeight="1" outlineLevel="4" x14ac:dyDescent="0.2">
      <c r="A29" s="23" t="s">
        <v>44</v>
      </c>
      <c r="B29" s="24" t="s">
        <v>45</v>
      </c>
      <c r="C29" s="25"/>
      <c r="D29" s="25" t="s">
        <v>56</v>
      </c>
      <c r="E29" s="26" t="s">
        <v>47</v>
      </c>
      <c r="F29" s="27"/>
      <c r="G29" s="30">
        <v>24</v>
      </c>
      <c r="H29" s="30">
        <v>24</v>
      </c>
      <c r="I29" s="30">
        <v>24</v>
      </c>
      <c r="J29" s="30">
        <v>24</v>
      </c>
      <c r="K29" s="30">
        <f>SUM($G$29:$J$29)</f>
        <v>96</v>
      </c>
      <c r="L29" s="32">
        <f t="array" ref="L29">INDEX(М[Цена за ед., руб],MATCH(1,IF(($B29=М[Наим.])*($C29=М[Артикул, марка, произв.])*($D29=М[Хар-ка])*($N29=М[Прим.]),{1},($B29=М[Наим.])*($C29=М[Артикул, марка, произв.])*($D29=М[Хар-ка])*($N29=М[Прим.])),0))</f>
        <v>0</v>
      </c>
      <c r="M29" s="32">
        <f>ROUND($K$29*$L$29,2)</f>
        <v>0</v>
      </c>
      <c r="N29" s="25"/>
      <c r="O29" s="25" t="str">
        <f t="array" ref="O29">INDEX(М[Форма закупа],MATCH(1,IF(($B29=М[Наим.])*($C29=М[Артикул, марка, произв.])*($D29=М[Хар-ка])*($N29=М[Прим.]),{1},($B29=М[Наим.])*($C29=М[Артикул, марка, произв.])*($D29=М[Хар-ка])*($N29=М[Прим.])),0))</f>
        <v>Закупка подрядчик</v>
      </c>
    </row>
    <row r="30" spans="1:15" ht="10.95" customHeight="1" outlineLevel="4" x14ac:dyDescent="0.2">
      <c r="A30" s="23" t="s">
        <v>48</v>
      </c>
      <c r="B30" s="24" t="s">
        <v>49</v>
      </c>
      <c r="C30" s="25"/>
      <c r="D30" s="25" t="s">
        <v>50</v>
      </c>
      <c r="E30" s="26" t="s">
        <v>27</v>
      </c>
      <c r="F30" s="29">
        <v>1.4999999999999999E-2</v>
      </c>
      <c r="G30" s="28">
        <v>2.38</v>
      </c>
      <c r="H30" s="28">
        <v>2.38</v>
      </c>
      <c r="I30" s="28">
        <v>2.38</v>
      </c>
      <c r="J30" s="28">
        <v>2.38</v>
      </c>
      <c r="K30" s="28">
        <f>SUM($G$30:$J$30)</f>
        <v>9.52</v>
      </c>
      <c r="L30" s="32">
        <f t="array" ref="L30">INDEX(М[Цена за ед., руб],MATCH(1,IF(($B30=М[Наим.])*($C30=М[Артикул, марка, произв.])*($D30=М[Хар-ка])*($N30=М[Прим.]),{1},($B30=М[Наим.])*($C30=М[Артикул, марка, произв.])*($D30=М[Хар-ка])*($N30=М[Прим.])),0))</f>
        <v>0</v>
      </c>
      <c r="M30" s="32">
        <f>ROUND($K$30*$L$30,2)</f>
        <v>0</v>
      </c>
      <c r="N30" s="25"/>
      <c r="O30" s="25" t="str">
        <f t="array" ref="O30">INDEX(М[Форма закупа],MATCH(1,IF(($B30=М[Наим.])*($C30=М[Артикул, марка, произв.])*($D30=М[Хар-ка])*($N30=М[Прим.]),{1},($B30=М[Наим.])*($C30=М[Артикул, марка, произв.])*($D30=М[Хар-ка])*($N30=М[Прим.])),0))</f>
        <v>Закупка подрядчик</v>
      </c>
    </row>
    <row r="31" spans="1:15" ht="10.95" customHeight="1" outlineLevel="4" x14ac:dyDescent="0.2">
      <c r="A31" s="23" t="s">
        <v>51</v>
      </c>
      <c r="B31" s="24" t="s">
        <v>57</v>
      </c>
      <c r="C31" s="25"/>
      <c r="D31" s="25" t="s">
        <v>58</v>
      </c>
      <c r="E31" s="26" t="s">
        <v>27</v>
      </c>
      <c r="F31" s="29">
        <v>1.0149999999999999</v>
      </c>
      <c r="G31" s="28">
        <v>35.54</v>
      </c>
      <c r="H31" s="28">
        <v>35.54</v>
      </c>
      <c r="I31" s="28">
        <v>35.54</v>
      </c>
      <c r="J31" s="28">
        <v>35.54</v>
      </c>
      <c r="K31" s="28">
        <f>SUM($G$31:$J$31)</f>
        <v>142.16</v>
      </c>
      <c r="L31" s="32">
        <f t="array" ref="L31">INDEX(М[Цена за ед., руб],MATCH(1,IF(($B31=М[Наим.])*($C31=М[Артикул, марка, произв.])*($D31=М[Хар-ка])*($N31=М[Прим.]),{1},($B31=М[Наим.])*($C31=М[Артикул, марка, произв.])*($D31=М[Хар-ка])*($N31=М[Прим.])),0))</f>
        <v>0</v>
      </c>
      <c r="M31" s="32">
        <f>ROUND($K$31*$L$31,2)</f>
        <v>0</v>
      </c>
      <c r="N31" s="25" t="s">
        <v>59</v>
      </c>
      <c r="O31" s="25" t="str">
        <f t="array" ref="O31">INDEX(М[Форма закупа],MATCH(1,IF(($B31=М[Наим.])*($C31=М[Артикул, марка, произв.])*($D31=М[Хар-ка])*($N31=М[Прим.]),{1},($B31=М[Наим.])*($C31=М[Артикул, марка, произв.])*($D31=М[Хар-ка])*($N31=М[Прим.])),0))</f>
        <v>Закупка подрядчик</v>
      </c>
    </row>
    <row r="32" spans="1:15" ht="10.95" customHeight="1" outlineLevel="2" x14ac:dyDescent="0.2">
      <c r="A32" s="13" t="s">
        <v>60</v>
      </c>
      <c r="B32" s="14" t="s">
        <v>61</v>
      </c>
      <c r="C32" s="15"/>
      <c r="D32" s="15"/>
      <c r="E32" s="16"/>
      <c r="F32" s="17"/>
      <c r="G32" s="18"/>
      <c r="H32" s="18"/>
      <c r="I32" s="18"/>
      <c r="J32" s="18"/>
      <c r="K32" s="18"/>
      <c r="L32" s="84"/>
      <c r="M32" s="84">
        <f>SUM($M$33)</f>
        <v>0</v>
      </c>
      <c r="N32" s="19"/>
      <c r="O32" s="19"/>
    </row>
    <row r="33" spans="1:15" ht="10.95" customHeight="1" outlineLevel="3" x14ac:dyDescent="0.2">
      <c r="A33" s="13" t="s">
        <v>62</v>
      </c>
      <c r="B33" s="14" t="s">
        <v>61</v>
      </c>
      <c r="C33" s="15"/>
      <c r="D33" s="15"/>
      <c r="E33" s="16"/>
      <c r="F33" s="17"/>
      <c r="G33" s="18"/>
      <c r="H33" s="18"/>
      <c r="I33" s="18"/>
      <c r="J33" s="18"/>
      <c r="K33" s="18"/>
      <c r="L33" s="84"/>
      <c r="M33" s="84">
        <f>SUM($M$136,$M$134,$M$125,$M$123,$M$115,$M$113,$M$103,$M$101,$M$91,$M$89,$M$79,$M$77,$M$64,$M$62,$M$51,$M$49,$M$36,$M$34)</f>
        <v>0</v>
      </c>
      <c r="N33" s="19"/>
      <c r="O33" s="19"/>
    </row>
    <row r="34" spans="1:15" ht="10.95" customHeight="1" outlineLevel="4" x14ac:dyDescent="0.2">
      <c r="A34" s="20"/>
      <c r="B34" s="14" t="s">
        <v>25</v>
      </c>
      <c r="C34" s="21"/>
      <c r="D34" s="21"/>
      <c r="E34" s="21"/>
      <c r="F34" s="21"/>
      <c r="G34" s="21"/>
      <c r="H34" s="21"/>
      <c r="I34" s="21"/>
      <c r="J34" s="21"/>
      <c r="K34" s="21"/>
      <c r="L34" s="85"/>
      <c r="M34" s="86">
        <f>SUM($M$35)</f>
        <v>0</v>
      </c>
      <c r="N34" s="18"/>
      <c r="O34" s="22"/>
    </row>
    <row r="35" spans="1:15" ht="22.95" customHeight="1" outlineLevel="4" x14ac:dyDescent="0.2">
      <c r="A35" s="23"/>
      <c r="B35" s="24" t="s">
        <v>63</v>
      </c>
      <c r="C35" s="25"/>
      <c r="D35" s="25"/>
      <c r="E35" s="26" t="s">
        <v>27</v>
      </c>
      <c r="F35" s="27"/>
      <c r="G35" s="28">
        <v>206.44</v>
      </c>
      <c r="H35" s="28">
        <v>9.92</v>
      </c>
      <c r="I35" s="28">
        <v>222.18</v>
      </c>
      <c r="J35" s="28">
        <v>9.92</v>
      </c>
      <c r="K35" s="28">
        <f>SUM($G$35:$J$35)</f>
        <v>448.46</v>
      </c>
      <c r="L35" s="32">
        <f t="array" ref="L35">INDEX(Р[Цена за ед., руб],MATCH(1,IF(($B35=Р[Наименование])*($N35=Р[Примечание]),{1},($B35=Р[Наименование])*($N35=Р[Примечание])),0))</f>
        <v>0</v>
      </c>
      <c r="M35" s="32">
        <f>ROUND($K$35*$L$35,2)</f>
        <v>0</v>
      </c>
      <c r="N35" s="25" t="s">
        <v>64</v>
      </c>
      <c r="O35" s="25"/>
    </row>
    <row r="36" spans="1:15" ht="10.95" customHeight="1" outlineLevel="4" x14ac:dyDescent="0.2">
      <c r="A36" s="20"/>
      <c r="B36" s="14" t="s">
        <v>29</v>
      </c>
      <c r="C36" s="21"/>
      <c r="D36" s="21"/>
      <c r="E36" s="21"/>
      <c r="F36" s="21"/>
      <c r="G36" s="21"/>
      <c r="H36" s="21"/>
      <c r="I36" s="21"/>
      <c r="J36" s="21"/>
      <c r="K36" s="21"/>
      <c r="L36" s="85"/>
      <c r="M36" s="86">
        <f>SUM($M$37:$M$48)</f>
        <v>0</v>
      </c>
      <c r="N36" s="18"/>
      <c r="O36" s="22"/>
    </row>
    <row r="37" spans="1:15" ht="46.95" customHeight="1" outlineLevel="4" x14ac:dyDescent="0.2">
      <c r="A37" s="23" t="s">
        <v>30</v>
      </c>
      <c r="B37" s="24" t="s">
        <v>38</v>
      </c>
      <c r="C37" s="25"/>
      <c r="D37" s="25" t="s">
        <v>39</v>
      </c>
      <c r="E37" s="26" t="s">
        <v>40</v>
      </c>
      <c r="F37" s="29">
        <v>0.14000000000000001</v>
      </c>
      <c r="G37" s="28">
        <v>1.94</v>
      </c>
      <c r="H37" s="28">
        <v>0.01</v>
      </c>
      <c r="I37" s="28">
        <v>2.19</v>
      </c>
      <c r="J37" s="28">
        <v>0.01</v>
      </c>
      <c r="K37" s="28">
        <f>SUM($G$37:$J$37)</f>
        <v>4.1499999999999995</v>
      </c>
      <c r="L37" s="32">
        <f t="array" ref="L37">INDEX(М[Цена за ед., руб],MATCH(1,IF(($B37=М[Наим.])*($C37=М[Артикул, марка, произв.])*($D37=М[Хар-ка])*($N37=М[Прим.]),{1},($B37=М[Наим.])*($C37=М[Артикул, марка, произв.])*($D37=М[Хар-ка])*($N37=М[Прим.])),0))</f>
        <v>0</v>
      </c>
      <c r="M37" s="32">
        <f>ROUND($K$37*$L$37,2)</f>
        <v>0</v>
      </c>
      <c r="N37" s="25"/>
      <c r="O37" s="25" t="str">
        <f t="array" ref="O37">INDEX(М[Форма закупа],MATCH(1,IF(($B37=М[Наим.])*($C37=М[Артикул, марка, произв.])*($D37=М[Хар-ка])*($N37=М[Прим.]),{1},($B37=М[Наим.])*($C37=М[Артикул, марка, произв.])*($D37=М[Хар-ка])*($N37=М[Прим.])),0))</f>
        <v>Закупка подрядчик</v>
      </c>
    </row>
    <row r="38" spans="1:15" ht="10.95" customHeight="1" outlineLevel="4" x14ac:dyDescent="0.2">
      <c r="A38" s="23" t="s">
        <v>34</v>
      </c>
      <c r="B38" s="24" t="s">
        <v>42</v>
      </c>
      <c r="C38" s="25"/>
      <c r="D38" s="25" t="s">
        <v>43</v>
      </c>
      <c r="E38" s="26" t="s">
        <v>27</v>
      </c>
      <c r="F38" s="29">
        <v>7.6999999999999999E-2</v>
      </c>
      <c r="G38" s="28">
        <v>1.07</v>
      </c>
      <c r="H38" s="28">
        <v>0.01</v>
      </c>
      <c r="I38" s="31">
        <v>1.2</v>
      </c>
      <c r="J38" s="28">
        <v>0.01</v>
      </c>
      <c r="K38" s="28">
        <f>SUM($G$38:$J$38)</f>
        <v>2.29</v>
      </c>
      <c r="L38" s="32">
        <f t="array" ref="L38">INDEX(М[Цена за ед., руб],MATCH(1,IF(($B38=М[Наим.])*($C38=М[Артикул, марка, произв.])*($D38=М[Хар-ка])*($N38=М[Прим.]),{1},($B38=М[Наим.])*($C38=М[Артикул, марка, произв.])*($D38=М[Хар-ка])*($N38=М[Прим.])),0))</f>
        <v>0</v>
      </c>
      <c r="M38" s="32">
        <f>ROUND($K$38*$L$38,2)</f>
        <v>0</v>
      </c>
      <c r="N38" s="25"/>
      <c r="O38" s="25" t="str">
        <f t="array" ref="O38">INDEX(М[Форма закупа],MATCH(1,IF(($B38=М[Наим.])*($C38=М[Артикул, марка, произв.])*($D38=М[Хар-ка])*($N38=М[Прим.]),{1},($B38=М[Наим.])*($C38=М[Артикул, марка, произв.])*($D38=М[Хар-ка])*($N38=М[Прим.])),0))</f>
        <v>Закупка подрядчик</v>
      </c>
    </row>
    <row r="39" spans="1:15" ht="22.95" customHeight="1" outlineLevel="4" x14ac:dyDescent="0.2">
      <c r="A39" s="23" t="s">
        <v>37</v>
      </c>
      <c r="B39" s="24" t="s">
        <v>45</v>
      </c>
      <c r="C39" s="25"/>
      <c r="D39" s="25" t="s">
        <v>65</v>
      </c>
      <c r="E39" s="26" t="s">
        <v>47</v>
      </c>
      <c r="F39" s="27"/>
      <c r="G39" s="30">
        <v>88</v>
      </c>
      <c r="H39" s="27"/>
      <c r="I39" s="30">
        <v>92</v>
      </c>
      <c r="J39" s="27"/>
      <c r="K39" s="30">
        <f>SUM($G$39:$J$39)</f>
        <v>180</v>
      </c>
      <c r="L39" s="32">
        <f t="array" ref="L39">INDEX(М[Цена за ед., руб],MATCH(1,IF(($B39=М[Наим.])*($C39=М[Артикул, марка, произв.])*($D39=М[Хар-ка])*($N39=М[Прим.]),{1},($B39=М[Наим.])*($C39=М[Артикул, марка, произв.])*($D39=М[Хар-ка])*($N39=М[Прим.])),0))</f>
        <v>0</v>
      </c>
      <c r="M39" s="32">
        <f>ROUND($K$39*$L$39,2)</f>
        <v>0</v>
      </c>
      <c r="N39" s="25"/>
      <c r="O39" s="25" t="str">
        <f t="array" ref="O39">INDEX(М[Форма закупа],MATCH(1,IF(($B39=М[Наим.])*($C39=М[Артикул, марка, произв.])*($D39=М[Хар-ка])*($N39=М[Прим.]),{1},($B39=М[Наим.])*($C39=М[Артикул, марка, произв.])*($D39=М[Хар-ка])*($N39=М[Прим.])),0))</f>
        <v>Закупка подрядчик</v>
      </c>
    </row>
    <row r="40" spans="1:15" ht="10.95" customHeight="1" outlineLevel="4" x14ac:dyDescent="0.2">
      <c r="A40" s="23" t="s">
        <v>41</v>
      </c>
      <c r="B40" s="24" t="s">
        <v>45</v>
      </c>
      <c r="C40" s="25"/>
      <c r="D40" s="25" t="s">
        <v>46</v>
      </c>
      <c r="E40" s="26" t="s">
        <v>47</v>
      </c>
      <c r="F40" s="27"/>
      <c r="G40" s="30">
        <v>14</v>
      </c>
      <c r="H40" s="30">
        <v>14</v>
      </c>
      <c r="I40" s="27"/>
      <c r="J40" s="30">
        <v>14</v>
      </c>
      <c r="K40" s="30">
        <f>SUM($G$40:$J$40)</f>
        <v>42</v>
      </c>
      <c r="L40" s="32">
        <f t="array" ref="L40">INDEX(М[Цена за ед., руб],MATCH(1,IF(($B40=М[Наим.])*($C40=М[Артикул, марка, произв.])*($D40=М[Хар-ка])*($N40=М[Прим.]),{1},($B40=М[Наим.])*($C40=М[Артикул, марка, произв.])*($D40=М[Хар-ка])*($N40=М[Прим.])),0))</f>
        <v>0</v>
      </c>
      <c r="M40" s="32">
        <f>ROUND($K$40*$L$40,2)</f>
        <v>0</v>
      </c>
      <c r="N40" s="25"/>
      <c r="O40" s="25" t="str">
        <f t="array" ref="O40">INDEX(М[Форма закупа],MATCH(1,IF(($B40=М[Наим.])*($C40=М[Артикул, марка, произв.])*($D40=М[Хар-ка])*($N40=М[Прим.]),{1},($B40=М[Наим.])*($C40=М[Артикул, марка, произв.])*($D40=М[Хар-ка])*($N40=М[Прим.])),0))</f>
        <v>Закупка подрядчик</v>
      </c>
    </row>
    <row r="41" spans="1:15" ht="10.95" customHeight="1" outlineLevel="4" x14ac:dyDescent="0.2">
      <c r="A41" s="23" t="s">
        <v>44</v>
      </c>
      <c r="B41" s="24" t="s">
        <v>49</v>
      </c>
      <c r="C41" s="25"/>
      <c r="D41" s="25" t="s">
        <v>50</v>
      </c>
      <c r="E41" s="26" t="s">
        <v>27</v>
      </c>
      <c r="F41" s="29">
        <v>1.4999999999999999E-2</v>
      </c>
      <c r="G41" s="31">
        <v>3.1</v>
      </c>
      <c r="H41" s="28">
        <v>0.15</v>
      </c>
      <c r="I41" s="28">
        <v>3.33</v>
      </c>
      <c r="J41" s="28">
        <v>0.15</v>
      </c>
      <c r="K41" s="28">
        <f>SUM($G$41:$J$41)</f>
        <v>6.73</v>
      </c>
      <c r="L41" s="32">
        <f t="array" ref="L41">INDEX(М[Цена за ед., руб],MATCH(1,IF(($B41=М[Наим.])*($C41=М[Артикул, марка, произв.])*($D41=М[Хар-ка])*($N41=М[Прим.]),{1},($B41=М[Наим.])*($C41=М[Артикул, марка, произв.])*($D41=М[Хар-ка])*($N41=М[Прим.])),0))</f>
        <v>0</v>
      </c>
      <c r="M41" s="32">
        <f>ROUND($K$41*$L$41,2)</f>
        <v>0</v>
      </c>
      <c r="N41" s="25"/>
      <c r="O41" s="25" t="str">
        <f t="array" ref="O41">INDEX(М[Форма закупа],MATCH(1,IF(($B41=М[Наим.])*($C41=М[Артикул, марка, произв.])*($D41=М[Хар-ка])*($N41=М[Прим.]),{1},($B41=М[Наим.])*($C41=М[Артикул, марка, произв.])*($D41=М[Хар-ка])*($N41=М[Прим.])),0))</f>
        <v>Закупка подрядчик</v>
      </c>
    </row>
    <row r="42" spans="1:15" ht="10.95" customHeight="1" outlineLevel="4" x14ac:dyDescent="0.2">
      <c r="A42" s="23" t="s">
        <v>48</v>
      </c>
      <c r="B42" s="24" t="s">
        <v>66</v>
      </c>
      <c r="C42" s="25"/>
      <c r="D42" s="25" t="s">
        <v>67</v>
      </c>
      <c r="E42" s="26" t="s">
        <v>27</v>
      </c>
      <c r="F42" s="29">
        <v>1.0149999999999999</v>
      </c>
      <c r="G42" s="28">
        <v>22.35</v>
      </c>
      <c r="H42" s="27"/>
      <c r="I42" s="28">
        <v>23.36</v>
      </c>
      <c r="J42" s="27"/>
      <c r="K42" s="28">
        <f>SUM($G$42:$J$42)</f>
        <v>45.71</v>
      </c>
      <c r="L42" s="32">
        <f t="array" ref="L42">INDEX(М[Цена за ед., руб],MATCH(1,IF(($B42=М[Наим.])*($C42=М[Артикул, марка, произв.])*($D42=М[Хар-ка])*($N42=М[Прим.]),{1},($B42=М[Наим.])*($C42=М[Артикул, марка, произв.])*($D42=М[Хар-ка])*($N42=М[Прим.])),0))</f>
        <v>0</v>
      </c>
      <c r="M42" s="32">
        <f>ROUND($K$42*$L$42,2)</f>
        <v>0</v>
      </c>
      <c r="N42" s="25"/>
      <c r="O42" s="25" t="str">
        <f t="array" ref="O42">INDEX(М[Форма закупа],MATCH(1,IF(($B42=М[Наим.])*($C42=М[Артикул, марка, произв.])*($D42=М[Хар-ка])*($N42=М[Прим.]),{1},($B42=М[Наим.])*($C42=М[Артикул, марка, произв.])*($D42=М[Хар-ка])*($N42=М[Прим.])),0))</f>
        <v>Закупка подрядчик</v>
      </c>
    </row>
    <row r="43" spans="1:15" ht="10.95" customHeight="1" outlineLevel="4" x14ac:dyDescent="0.2">
      <c r="A43" s="23" t="s">
        <v>51</v>
      </c>
      <c r="B43" s="24" t="s">
        <v>66</v>
      </c>
      <c r="C43" s="25"/>
      <c r="D43" s="25" t="s">
        <v>68</v>
      </c>
      <c r="E43" s="26" t="s">
        <v>27</v>
      </c>
      <c r="F43" s="29">
        <v>1.0149999999999999</v>
      </c>
      <c r="G43" s="28">
        <v>60.49</v>
      </c>
      <c r="H43" s="27"/>
      <c r="I43" s="28">
        <v>72.28</v>
      </c>
      <c r="J43" s="27"/>
      <c r="K43" s="28">
        <f>SUM($G$43:$J$43)</f>
        <v>132.77000000000001</v>
      </c>
      <c r="L43" s="32">
        <f t="array" ref="L43">INDEX(М[Цена за ед., руб],MATCH(1,IF(($B43=М[Наим.])*($C43=М[Артикул, марка, произв.])*($D43=М[Хар-ка])*($N43=М[Прим.]),{1},($B43=М[Наим.])*($C43=М[Артикул, марка, произв.])*($D43=М[Хар-ка])*($N43=М[Прим.])),0))</f>
        <v>0</v>
      </c>
      <c r="M43" s="32">
        <f>ROUND($K$43*$L$43,2)</f>
        <v>0</v>
      </c>
      <c r="N43" s="25"/>
      <c r="O43" s="25" t="str">
        <f t="array" ref="O43">INDEX(М[Форма закупа],MATCH(1,IF(($B43=М[Наим.])*($C43=М[Артикул, марка, произв.])*($D43=М[Хар-ка])*($N43=М[Прим.]),{1},($B43=М[Наим.])*($C43=М[Артикул, марка, произв.])*($D43=М[Хар-ка])*($N43=М[Прим.])),0))</f>
        <v>Закупка подрядчик</v>
      </c>
    </row>
    <row r="44" spans="1:15" ht="10.95" customHeight="1" outlineLevel="4" x14ac:dyDescent="0.2">
      <c r="A44" s="23" t="s">
        <v>69</v>
      </c>
      <c r="B44" s="24" t="s">
        <v>66</v>
      </c>
      <c r="C44" s="25"/>
      <c r="D44" s="25" t="s">
        <v>70</v>
      </c>
      <c r="E44" s="26" t="s">
        <v>27</v>
      </c>
      <c r="F44" s="29">
        <v>1.0149999999999999</v>
      </c>
      <c r="G44" s="28">
        <v>104.01</v>
      </c>
      <c r="H44" s="27"/>
      <c r="I44" s="28">
        <v>116.68</v>
      </c>
      <c r="J44" s="27"/>
      <c r="K44" s="28">
        <f>SUM($G$44:$J$44)</f>
        <v>220.69</v>
      </c>
      <c r="L44" s="32">
        <f t="array" ref="L44">INDEX(М[Цена за ед., руб],MATCH(1,IF(($B44=М[Наим.])*($C44=М[Артикул, марка, произв.])*($D44=М[Хар-ка])*($N44=М[Прим.]),{1},($B44=М[Наим.])*($C44=М[Артикул, марка, произв.])*($D44=М[Хар-ка])*($N44=М[Прим.])),0))</f>
        <v>0</v>
      </c>
      <c r="M44" s="32">
        <f>ROUND($K$44*$L$44,2)</f>
        <v>0</v>
      </c>
      <c r="N44" s="25"/>
      <c r="O44" s="25" t="str">
        <f t="array" ref="O44">INDEX(М[Форма закупа],MATCH(1,IF(($B44=М[Наим.])*($C44=М[Артикул, марка, произв.])*($D44=М[Хар-ка])*($N44=М[Прим.]),{1},($B44=М[Наим.])*($C44=М[Артикул, марка, произв.])*($D44=М[Хар-ка])*($N44=М[Прим.])),0))</f>
        <v>Закупка подрядчик</v>
      </c>
    </row>
    <row r="45" spans="1:15" ht="10.95" customHeight="1" outlineLevel="4" x14ac:dyDescent="0.2">
      <c r="A45" s="23" t="s">
        <v>71</v>
      </c>
      <c r="B45" s="24" t="s">
        <v>57</v>
      </c>
      <c r="C45" s="25"/>
      <c r="D45" s="25" t="s">
        <v>72</v>
      </c>
      <c r="E45" s="26" t="s">
        <v>27</v>
      </c>
      <c r="F45" s="29">
        <v>1.0149999999999999</v>
      </c>
      <c r="G45" s="28">
        <v>1.34</v>
      </c>
      <c r="H45" s="28">
        <v>1.34</v>
      </c>
      <c r="I45" s="27"/>
      <c r="J45" s="28">
        <v>1.34</v>
      </c>
      <c r="K45" s="28">
        <f>SUM($G$45:$J$45)</f>
        <v>4.0200000000000005</v>
      </c>
      <c r="L45" s="32">
        <f t="array" ref="L45">INDEX(М[Цена за ед., руб],MATCH(1,IF(($B45=М[Наим.])*($C45=М[Артикул, марка, произв.])*($D45=М[Хар-ка])*($N45=М[Прим.]),{1},($B45=М[Наим.])*($C45=М[Артикул, марка, произв.])*($D45=М[Хар-ка])*($N45=М[Прим.])),0))</f>
        <v>0</v>
      </c>
      <c r="M45" s="32">
        <f>ROUND($K$45*$L$45,2)</f>
        <v>0</v>
      </c>
      <c r="N45" s="25" t="s">
        <v>73</v>
      </c>
      <c r="O45" s="25" t="str">
        <f t="array" ref="O45">INDEX(М[Форма закупа],MATCH(1,IF(($B45=М[Наим.])*($C45=М[Артикул, марка, произв.])*($D45=М[Хар-ка])*($N45=М[Прим.]),{1},($B45=М[Наим.])*($C45=М[Артикул, марка, произв.])*($D45=М[Хар-ка])*($N45=М[Прим.])),0))</f>
        <v>Закупка подрядчик</v>
      </c>
    </row>
    <row r="46" spans="1:15" ht="10.95" customHeight="1" outlineLevel="4" x14ac:dyDescent="0.2">
      <c r="A46" s="23" t="s">
        <v>74</v>
      </c>
      <c r="B46" s="24" t="s">
        <v>57</v>
      </c>
      <c r="C46" s="25"/>
      <c r="D46" s="25" t="s">
        <v>75</v>
      </c>
      <c r="E46" s="26" t="s">
        <v>27</v>
      </c>
      <c r="F46" s="29">
        <v>1.0149999999999999</v>
      </c>
      <c r="G46" s="28">
        <v>12.62</v>
      </c>
      <c r="H46" s="27"/>
      <c r="I46" s="31">
        <v>13.2</v>
      </c>
      <c r="J46" s="27"/>
      <c r="K46" s="28">
        <f>SUM($G$46:$J$46)</f>
        <v>25.82</v>
      </c>
      <c r="L46" s="32">
        <f t="array" ref="L46">INDEX(М[Цена за ед., руб],MATCH(1,IF(($B46=М[Наим.])*($C46=М[Артикул, марка, произв.])*($D46=М[Хар-ка])*($N46=М[Прим.]),{1},($B46=М[Наим.])*($C46=М[Артикул, марка, произв.])*($D46=М[Хар-ка])*($N46=М[Прим.])),0))</f>
        <v>0</v>
      </c>
      <c r="M46" s="32">
        <f>ROUND($K$46*$L$46,2)</f>
        <v>0</v>
      </c>
      <c r="N46" s="25" t="s">
        <v>76</v>
      </c>
      <c r="O46" s="25" t="str">
        <f t="array" ref="O46">INDEX(М[Форма закупа],MATCH(1,IF(($B46=М[Наим.])*($C46=М[Артикул, марка, произв.])*($D46=М[Хар-ка])*($N46=М[Прим.]),{1},($B46=М[Наим.])*($C46=М[Артикул, марка, произв.])*($D46=М[Хар-ка])*($N46=М[Прим.])),0))</f>
        <v>Закупка подрядчик</v>
      </c>
    </row>
    <row r="47" spans="1:15" ht="22.95" customHeight="1" outlineLevel="4" x14ac:dyDescent="0.2">
      <c r="A47" s="23" t="s">
        <v>77</v>
      </c>
      <c r="B47" s="24" t="s">
        <v>78</v>
      </c>
      <c r="C47" s="25"/>
      <c r="D47" s="25" t="s">
        <v>79</v>
      </c>
      <c r="E47" s="26" t="s">
        <v>27</v>
      </c>
      <c r="F47" s="29">
        <v>1.0149999999999999</v>
      </c>
      <c r="G47" s="28">
        <v>0.95</v>
      </c>
      <c r="H47" s="28">
        <v>0.95</v>
      </c>
      <c r="I47" s="27"/>
      <c r="J47" s="28">
        <v>0.95</v>
      </c>
      <c r="K47" s="28">
        <f>SUM($G$47:$J$47)</f>
        <v>2.8499999999999996</v>
      </c>
      <c r="L47" s="32">
        <f t="array" ref="L47">INDEX(М[Цена за ед., руб],MATCH(1,IF(($B47=М[Наим.])*($C47=М[Артикул, марка, произв.])*($D47=М[Хар-ка])*($N47=М[Прим.]),{1},($B47=М[Наим.])*($C47=М[Артикул, марка, произв.])*($D47=М[Хар-ка])*($N47=М[Прим.])),0))</f>
        <v>0</v>
      </c>
      <c r="M47" s="32">
        <f>ROUND($K$47*$L$47,2)</f>
        <v>0</v>
      </c>
      <c r="N47" s="25"/>
      <c r="O47" s="25" t="str">
        <f t="array" ref="O47">INDEX(М[Форма закупа],MATCH(1,IF(($B47=М[Наим.])*($C47=М[Артикул, марка, произв.])*($D47=М[Хар-ка])*($N47=М[Прим.]),{1},($B47=М[Наим.])*($C47=М[Артикул, марка, произв.])*($D47=М[Хар-ка])*($N47=М[Прим.])),0))</f>
        <v>Закупка подрядчик</v>
      </c>
    </row>
    <row r="48" spans="1:15" ht="22.95" customHeight="1" outlineLevel="4" x14ac:dyDescent="0.2">
      <c r="A48" s="23" t="s">
        <v>80</v>
      </c>
      <c r="B48" s="24" t="s">
        <v>78</v>
      </c>
      <c r="C48" s="25"/>
      <c r="D48" s="25" t="s">
        <v>81</v>
      </c>
      <c r="E48" s="26" t="s">
        <v>27</v>
      </c>
      <c r="F48" s="29">
        <v>1.0149999999999999</v>
      </c>
      <c r="G48" s="28">
        <v>7.78</v>
      </c>
      <c r="H48" s="28">
        <v>7.78</v>
      </c>
      <c r="I48" s="27"/>
      <c r="J48" s="28">
        <v>7.78</v>
      </c>
      <c r="K48" s="28">
        <f>SUM($G$48:$J$48)</f>
        <v>23.34</v>
      </c>
      <c r="L48" s="32">
        <f t="array" ref="L48">INDEX(М[Цена за ед., руб],MATCH(1,IF(($B48=М[Наим.])*($C48=М[Артикул, марка, произв.])*($D48=М[Хар-ка])*($N48=М[Прим.]),{1},($B48=М[Наим.])*($C48=М[Артикул, марка, произв.])*($D48=М[Хар-ка])*($N48=М[Прим.])),0))</f>
        <v>0</v>
      </c>
      <c r="M48" s="32">
        <f>ROUND($K$48*$L$48,2)</f>
        <v>0</v>
      </c>
      <c r="N48" s="25"/>
      <c r="O48" s="25" t="str">
        <f t="array" ref="O48">INDEX(М[Форма закупа],MATCH(1,IF(($B48=М[Наим.])*($C48=М[Артикул, марка, произв.])*($D48=М[Хар-ка])*($N48=М[Прим.]),{1},($B48=М[Наим.])*($C48=М[Артикул, марка, произв.])*($D48=М[Хар-ка])*($N48=М[Прим.])),0))</f>
        <v>Закупка подрядчик</v>
      </c>
    </row>
    <row r="49" spans="1:15" ht="10.95" customHeight="1" outlineLevel="4" x14ac:dyDescent="0.2">
      <c r="A49" s="20"/>
      <c r="B49" s="14" t="s">
        <v>25</v>
      </c>
      <c r="C49" s="21"/>
      <c r="D49" s="21"/>
      <c r="E49" s="21"/>
      <c r="F49" s="21"/>
      <c r="G49" s="21"/>
      <c r="H49" s="21"/>
      <c r="I49" s="21"/>
      <c r="J49" s="21"/>
      <c r="K49" s="21"/>
      <c r="L49" s="85"/>
      <c r="M49" s="86">
        <f>SUM($M$50)</f>
        <v>0</v>
      </c>
      <c r="N49" s="18"/>
      <c r="O49" s="22"/>
    </row>
    <row r="50" spans="1:15" ht="22.95" customHeight="1" outlineLevel="4" x14ac:dyDescent="0.2">
      <c r="A50" s="23"/>
      <c r="B50" s="24" t="s">
        <v>82</v>
      </c>
      <c r="C50" s="25"/>
      <c r="D50" s="25"/>
      <c r="E50" s="26" t="s">
        <v>27</v>
      </c>
      <c r="F50" s="27"/>
      <c r="G50" s="28">
        <v>16.420000000000002</v>
      </c>
      <c r="H50" s="28">
        <v>16.420000000000002</v>
      </c>
      <c r="I50" s="28">
        <v>16.420000000000002</v>
      </c>
      <c r="J50" s="28">
        <v>240.55</v>
      </c>
      <c r="K50" s="28">
        <f>SUM($G$50:$J$50)</f>
        <v>289.81</v>
      </c>
      <c r="L50" s="32">
        <f t="array" ref="L50">INDEX(Р[Цена за ед., руб],MATCH(1,IF(($B50=Р[Наименование])*($N50=Р[Примечание]),{1},($B50=Р[Наименование])*($N50=Р[Примечание])),0))</f>
        <v>0</v>
      </c>
      <c r="M50" s="32">
        <f>ROUND($K$50*$L$50,2)</f>
        <v>0</v>
      </c>
      <c r="N50" s="25" t="s">
        <v>83</v>
      </c>
      <c r="O50" s="25"/>
    </row>
    <row r="51" spans="1:15" ht="10.95" customHeight="1" outlineLevel="4" x14ac:dyDescent="0.2">
      <c r="A51" s="20"/>
      <c r="B51" s="14" t="s">
        <v>29</v>
      </c>
      <c r="C51" s="21"/>
      <c r="D51" s="21"/>
      <c r="E51" s="21"/>
      <c r="F51" s="21"/>
      <c r="G51" s="21"/>
      <c r="H51" s="21"/>
      <c r="I51" s="21"/>
      <c r="J51" s="21"/>
      <c r="K51" s="21"/>
      <c r="L51" s="85"/>
      <c r="M51" s="86">
        <f>SUM($M$52:$M$61)</f>
        <v>0</v>
      </c>
      <c r="N51" s="18"/>
      <c r="O51" s="22"/>
    </row>
    <row r="52" spans="1:15" ht="10.95" customHeight="1" outlineLevel="4" x14ac:dyDescent="0.2">
      <c r="A52" s="23" t="s">
        <v>30</v>
      </c>
      <c r="B52" s="24" t="s">
        <v>35</v>
      </c>
      <c r="C52" s="25"/>
      <c r="D52" s="25" t="s">
        <v>84</v>
      </c>
      <c r="E52" s="26" t="s">
        <v>27</v>
      </c>
      <c r="F52" s="29">
        <v>1.0149999999999999</v>
      </c>
      <c r="G52" s="28">
        <v>0.08</v>
      </c>
      <c r="H52" s="28">
        <v>0.08</v>
      </c>
      <c r="I52" s="28">
        <v>0.08</v>
      </c>
      <c r="J52" s="28">
        <v>0.08</v>
      </c>
      <c r="K52" s="28">
        <f>SUM($G$52:$J$52)</f>
        <v>0.32</v>
      </c>
      <c r="L52" s="32">
        <f t="array" ref="L52">INDEX(М[Цена за ед., руб],MATCH(1,IF(($B52=М[Наим.])*($C52=М[Артикул, марка, произв.])*($D52=М[Хар-ка])*($N52=М[Прим.]),{1},($B52=М[Наим.])*($C52=М[Артикул, марка, произв.])*($D52=М[Хар-ка])*($N52=М[Прим.])),0))</f>
        <v>0</v>
      </c>
      <c r="M52" s="32">
        <f>ROUND($K$52*$L$52,2)</f>
        <v>0</v>
      </c>
      <c r="N52" s="25"/>
      <c r="O52" s="25" t="str">
        <f t="array" ref="O52">INDEX(М[Форма закупа],MATCH(1,IF(($B52=М[Наим.])*($C52=М[Артикул, марка, произв.])*($D52=М[Хар-ка])*($N52=М[Прим.]),{1},($B52=М[Наим.])*($C52=М[Артикул, марка, произв.])*($D52=М[Хар-ка])*($N52=М[Прим.])),0))</f>
        <v>Закупка подрядчик</v>
      </c>
    </row>
    <row r="53" spans="1:15" ht="46.95" customHeight="1" outlineLevel="4" x14ac:dyDescent="0.2">
      <c r="A53" s="23" t="s">
        <v>34</v>
      </c>
      <c r="B53" s="24" t="s">
        <v>38</v>
      </c>
      <c r="C53" s="25"/>
      <c r="D53" s="25" t="s">
        <v>39</v>
      </c>
      <c r="E53" s="26" t="s">
        <v>40</v>
      </c>
      <c r="F53" s="29">
        <v>0.14000000000000001</v>
      </c>
      <c r="G53" s="28">
        <v>0.17</v>
      </c>
      <c r="H53" s="28">
        <v>0.17</v>
      </c>
      <c r="I53" s="28">
        <v>0.17</v>
      </c>
      <c r="J53" s="28">
        <v>2.38</v>
      </c>
      <c r="K53" s="28">
        <f>SUM($G$53:$J$53)</f>
        <v>2.8899999999999997</v>
      </c>
      <c r="L53" s="32">
        <f t="array" ref="L53">INDEX(М[Цена за ед., руб],MATCH(1,IF(($B53=М[Наим.])*($C53=М[Артикул, марка, произв.])*($D53=М[Хар-ка])*($N53=М[Прим.]),{1},($B53=М[Наим.])*($C53=М[Артикул, марка, произв.])*($D53=М[Хар-ка])*($N53=М[Прим.])),0))</f>
        <v>0</v>
      </c>
      <c r="M53" s="32">
        <f>ROUND($K$53*$L$53,2)</f>
        <v>0</v>
      </c>
      <c r="N53" s="25"/>
      <c r="O53" s="25" t="str">
        <f t="array" ref="O53">INDEX(М[Форма закупа],MATCH(1,IF(($B53=М[Наим.])*($C53=М[Артикул, марка, произв.])*($D53=М[Хар-ка])*($N53=М[Прим.]),{1},($B53=М[Наим.])*($C53=М[Артикул, марка, произв.])*($D53=М[Хар-ка])*($N53=М[Прим.])),0))</f>
        <v>Закупка подрядчик</v>
      </c>
    </row>
    <row r="54" spans="1:15" ht="10.95" customHeight="1" outlineLevel="4" x14ac:dyDescent="0.2">
      <c r="A54" s="23" t="s">
        <v>37</v>
      </c>
      <c r="B54" s="24" t="s">
        <v>42</v>
      </c>
      <c r="C54" s="25"/>
      <c r="D54" s="25" t="s">
        <v>43</v>
      </c>
      <c r="E54" s="26" t="s">
        <v>27</v>
      </c>
      <c r="F54" s="29">
        <v>7.6999999999999999E-2</v>
      </c>
      <c r="G54" s="28">
        <v>0.09</v>
      </c>
      <c r="H54" s="28">
        <v>0.09</v>
      </c>
      <c r="I54" s="28">
        <v>0.09</v>
      </c>
      <c r="J54" s="28">
        <v>1.31</v>
      </c>
      <c r="K54" s="28">
        <f>SUM($G$54:$J$54)</f>
        <v>1.58</v>
      </c>
      <c r="L54" s="32">
        <f t="array" ref="L54">INDEX(М[Цена за ед., руб],MATCH(1,IF(($B54=М[Наим.])*($C54=М[Артикул, марка, произв.])*($D54=М[Хар-ка])*($N54=М[Прим.]),{1},($B54=М[Наим.])*($C54=М[Артикул, марка, произв.])*($D54=М[Хар-ка])*($N54=М[Прим.])),0))</f>
        <v>0</v>
      </c>
      <c r="M54" s="32">
        <f>ROUND($K$54*$L$54,2)</f>
        <v>0</v>
      </c>
      <c r="N54" s="25"/>
      <c r="O54" s="25" t="str">
        <f t="array" ref="O54">INDEX(М[Форма закупа],MATCH(1,IF(($B54=М[Наим.])*($C54=М[Артикул, марка, произв.])*($D54=М[Хар-ка])*($N54=М[Прим.]),{1},($B54=М[Наим.])*($C54=М[Артикул, марка, произв.])*($D54=М[Хар-ка])*($N54=М[Прим.])),0))</f>
        <v>Закупка подрядчик</v>
      </c>
    </row>
    <row r="55" spans="1:15" ht="22.95" customHeight="1" outlineLevel="4" x14ac:dyDescent="0.2">
      <c r="A55" s="23" t="s">
        <v>41</v>
      </c>
      <c r="B55" s="24" t="s">
        <v>45</v>
      </c>
      <c r="C55" s="25"/>
      <c r="D55" s="25" t="s">
        <v>65</v>
      </c>
      <c r="E55" s="26" t="s">
        <v>47</v>
      </c>
      <c r="F55" s="27"/>
      <c r="G55" s="30">
        <v>1</v>
      </c>
      <c r="H55" s="30">
        <v>1</v>
      </c>
      <c r="I55" s="30">
        <v>1</v>
      </c>
      <c r="J55" s="30">
        <v>81</v>
      </c>
      <c r="K55" s="30">
        <f>SUM($G$55:$J$55)</f>
        <v>84</v>
      </c>
      <c r="L55" s="32">
        <f t="array" ref="L55">INDEX(М[Цена за ед., руб],MATCH(1,IF(($B55=М[Наим.])*($C55=М[Артикул, марка, произв.])*($D55=М[Хар-ка])*($N55=М[Прим.]),{1},($B55=М[Наим.])*($C55=М[Артикул, марка, произв.])*($D55=М[Хар-ка])*($N55=М[Прим.])),0))</f>
        <v>0</v>
      </c>
      <c r="M55" s="32">
        <f>ROUND($K$55*$L$55,2)</f>
        <v>0</v>
      </c>
      <c r="N55" s="25"/>
      <c r="O55" s="25" t="str">
        <f t="array" ref="O55">INDEX(М[Форма закупа],MATCH(1,IF(($B55=М[Наим.])*($C55=М[Артикул, марка, произв.])*($D55=М[Хар-ка])*($N55=М[Прим.]),{1},($B55=М[Наим.])*($C55=М[Артикул, марка, произв.])*($D55=М[Хар-ка])*($N55=М[Прим.])),0))</f>
        <v>Закупка подрядчик</v>
      </c>
    </row>
    <row r="56" spans="1:15" ht="10.95" customHeight="1" outlineLevel="4" x14ac:dyDescent="0.2">
      <c r="A56" s="23" t="s">
        <v>44</v>
      </c>
      <c r="B56" s="24" t="s">
        <v>49</v>
      </c>
      <c r="C56" s="25"/>
      <c r="D56" s="25" t="s">
        <v>50</v>
      </c>
      <c r="E56" s="26" t="s">
        <v>27</v>
      </c>
      <c r="F56" s="29">
        <v>1.4999999999999999E-2</v>
      </c>
      <c r="G56" s="28">
        <v>0.25</v>
      </c>
      <c r="H56" s="28">
        <v>0.25</v>
      </c>
      <c r="I56" s="28">
        <v>0.25</v>
      </c>
      <c r="J56" s="28">
        <v>3.61</v>
      </c>
      <c r="K56" s="28">
        <f>SUM($G$56:$J$56)</f>
        <v>4.3599999999999994</v>
      </c>
      <c r="L56" s="32">
        <f t="array" ref="L56">INDEX(М[Цена за ед., руб],MATCH(1,IF(($B56=М[Наим.])*($C56=М[Артикул, марка, произв.])*($D56=М[Хар-ка])*($N56=М[Прим.]),{1},($B56=М[Наим.])*($C56=М[Артикул, марка, произв.])*($D56=М[Хар-ка])*($N56=М[Прим.])),0))</f>
        <v>0</v>
      </c>
      <c r="M56" s="32">
        <f>ROUND($K$56*$L$56,2)</f>
        <v>0</v>
      </c>
      <c r="N56" s="25"/>
      <c r="O56" s="25" t="str">
        <f t="array" ref="O56">INDEX(М[Форма закупа],MATCH(1,IF(($B56=М[Наим.])*($C56=М[Артикул, марка, произв.])*($D56=М[Хар-ка])*($N56=М[Прим.]),{1},($B56=М[Наим.])*($C56=М[Артикул, марка, произв.])*($D56=М[Хар-ка])*($N56=М[Прим.])),0))</f>
        <v>Закупка подрядчик</v>
      </c>
    </row>
    <row r="57" spans="1:15" ht="10.95" customHeight="1" outlineLevel="4" x14ac:dyDescent="0.2">
      <c r="A57" s="23" t="s">
        <v>48</v>
      </c>
      <c r="B57" s="24" t="s">
        <v>66</v>
      </c>
      <c r="C57" s="25"/>
      <c r="D57" s="25" t="s">
        <v>67</v>
      </c>
      <c r="E57" s="26" t="s">
        <v>27</v>
      </c>
      <c r="F57" s="29">
        <v>1.0149999999999999</v>
      </c>
      <c r="G57" s="28">
        <v>2.88</v>
      </c>
      <c r="H57" s="28">
        <v>2.88</v>
      </c>
      <c r="I57" s="28">
        <v>2.88</v>
      </c>
      <c r="J57" s="28">
        <v>27.46</v>
      </c>
      <c r="K57" s="31">
        <f>SUM($G$57:$J$57)</f>
        <v>36.1</v>
      </c>
      <c r="L57" s="32">
        <f t="array" ref="L57">INDEX(М[Цена за ед., руб],MATCH(1,IF(($B57=М[Наим.])*($C57=М[Артикул, марка, произв.])*($D57=М[Хар-ка])*($N57=М[Прим.]),{1},($B57=М[Наим.])*($C57=М[Артикул, марка, произв.])*($D57=М[Хар-ка])*($N57=М[Прим.])),0))</f>
        <v>0</v>
      </c>
      <c r="M57" s="32">
        <f>ROUND($K$57*$L$57,2)</f>
        <v>0</v>
      </c>
      <c r="N57" s="25"/>
      <c r="O57" s="25" t="str">
        <f t="array" ref="O57">INDEX(М[Форма закупа],MATCH(1,IF(($B57=М[Наим.])*($C57=М[Артикул, марка, произв.])*($D57=М[Хар-ка])*($N57=М[Прим.]),{1},($B57=М[Наим.])*($C57=М[Артикул, марка, произв.])*($D57=М[Хар-ка])*($N57=М[Прим.])),0))</f>
        <v>Закупка подрядчик</v>
      </c>
    </row>
    <row r="58" spans="1:15" ht="10.95" customHeight="1" outlineLevel="4" x14ac:dyDescent="0.2">
      <c r="A58" s="23" t="s">
        <v>51</v>
      </c>
      <c r="B58" s="24" t="s">
        <v>66</v>
      </c>
      <c r="C58" s="25"/>
      <c r="D58" s="25" t="s">
        <v>85</v>
      </c>
      <c r="E58" s="26" t="s">
        <v>27</v>
      </c>
      <c r="F58" s="29">
        <v>1.0149999999999999</v>
      </c>
      <c r="G58" s="28">
        <v>5.86</v>
      </c>
      <c r="H58" s="28">
        <v>5.86</v>
      </c>
      <c r="I58" s="28">
        <v>5.86</v>
      </c>
      <c r="J58" s="28">
        <v>11.13</v>
      </c>
      <c r="K58" s="28">
        <f>SUM($G$58:$J$58)</f>
        <v>28.71</v>
      </c>
      <c r="L58" s="32">
        <f t="array" ref="L58">INDEX(М[Цена за ед., руб],MATCH(1,IF(($B58=М[Наим.])*($C58=М[Артикул, марка, произв.])*($D58=М[Хар-ка])*($N58=М[Прим.]),{1},($B58=М[Наим.])*($C58=М[Артикул, марка, произв.])*($D58=М[Хар-ка])*($N58=М[Прим.])),0))</f>
        <v>0</v>
      </c>
      <c r="M58" s="32">
        <f>ROUND($K$58*$L$58,2)</f>
        <v>0</v>
      </c>
      <c r="N58" s="25"/>
      <c r="O58" s="25" t="str">
        <f t="array" ref="O58">INDEX(М[Форма закупа],MATCH(1,IF(($B58=М[Наим.])*($C58=М[Артикул, марка, произв.])*($D58=М[Хар-ка])*($N58=М[Прим.]),{1},($B58=М[Наим.])*($C58=М[Артикул, марка, произв.])*($D58=М[Хар-ка])*($N58=М[Прим.])),0))</f>
        <v>Закупка подрядчик</v>
      </c>
    </row>
    <row r="59" spans="1:15" ht="10.95" customHeight="1" outlineLevel="4" x14ac:dyDescent="0.2">
      <c r="A59" s="23" t="s">
        <v>69</v>
      </c>
      <c r="B59" s="24" t="s">
        <v>66</v>
      </c>
      <c r="C59" s="25"/>
      <c r="D59" s="25" t="s">
        <v>68</v>
      </c>
      <c r="E59" s="26" t="s">
        <v>27</v>
      </c>
      <c r="F59" s="29">
        <v>1.0149999999999999</v>
      </c>
      <c r="G59" s="28">
        <v>5.73</v>
      </c>
      <c r="H59" s="28">
        <v>5.73</v>
      </c>
      <c r="I59" s="28">
        <v>5.73</v>
      </c>
      <c r="J59" s="28">
        <v>79.319999999999993</v>
      </c>
      <c r="K59" s="28">
        <f>SUM($G$59:$J$59)</f>
        <v>96.509999999999991</v>
      </c>
      <c r="L59" s="32">
        <f t="array" ref="L59">INDEX(М[Цена за ед., руб],MATCH(1,IF(($B59=М[Наим.])*($C59=М[Артикул, марка, произв.])*($D59=М[Хар-ка])*($N59=М[Прим.]),{1},($B59=М[Наим.])*($C59=М[Артикул, марка, произв.])*($D59=М[Хар-ка])*($N59=М[Прим.])),0))</f>
        <v>0</v>
      </c>
      <c r="M59" s="32">
        <f>ROUND($K$59*$L$59,2)</f>
        <v>0</v>
      </c>
      <c r="N59" s="25"/>
      <c r="O59" s="25" t="str">
        <f t="array" ref="O59">INDEX(М[Форма закупа],MATCH(1,IF(($B59=М[Наим.])*($C59=М[Артикул, марка, произв.])*($D59=М[Хар-ка])*($N59=М[Прим.]),{1},($B59=М[Наим.])*($C59=М[Артикул, марка, произв.])*($D59=М[Хар-ка])*($N59=М[Прим.])),0))</f>
        <v>Закупка подрядчик</v>
      </c>
    </row>
    <row r="60" spans="1:15" ht="10.95" customHeight="1" outlineLevel="4" x14ac:dyDescent="0.2">
      <c r="A60" s="23" t="s">
        <v>71</v>
      </c>
      <c r="B60" s="24" t="s">
        <v>66</v>
      </c>
      <c r="C60" s="25"/>
      <c r="D60" s="25" t="s">
        <v>70</v>
      </c>
      <c r="E60" s="26" t="s">
        <v>27</v>
      </c>
      <c r="F60" s="29">
        <v>1.0149999999999999</v>
      </c>
      <c r="G60" s="28">
        <v>2.12</v>
      </c>
      <c r="H60" s="28">
        <v>2.12</v>
      </c>
      <c r="I60" s="28">
        <v>2.12</v>
      </c>
      <c r="J60" s="28">
        <v>114.23</v>
      </c>
      <c r="K60" s="28">
        <f>SUM($G$60:$J$60)</f>
        <v>120.59</v>
      </c>
      <c r="L60" s="32">
        <f t="array" ref="L60">INDEX(М[Цена за ед., руб],MATCH(1,IF(($B60=М[Наим.])*($C60=М[Артикул, марка, произв.])*($D60=М[Хар-ка])*($N60=М[Прим.]),{1},($B60=М[Наим.])*($C60=М[Артикул, марка, произв.])*($D60=М[Хар-ка])*($N60=М[Прим.])),0))</f>
        <v>0</v>
      </c>
      <c r="M60" s="32">
        <f>ROUND($K$60*$L$60,2)</f>
        <v>0</v>
      </c>
      <c r="N60" s="25"/>
      <c r="O60" s="25" t="str">
        <f t="array" ref="O60">INDEX(М[Форма закупа],MATCH(1,IF(($B60=М[Наим.])*($C60=М[Артикул, марка, произв.])*($D60=М[Хар-ка])*($N60=М[Прим.]),{1},($B60=М[Наим.])*($C60=М[Артикул, марка, произв.])*($D60=М[Хар-ка])*($N60=М[Прим.])),0))</f>
        <v>Закупка подрядчик</v>
      </c>
    </row>
    <row r="61" spans="1:15" ht="10.95" customHeight="1" outlineLevel="4" x14ac:dyDescent="0.2">
      <c r="A61" s="23" t="s">
        <v>74</v>
      </c>
      <c r="B61" s="24" t="s">
        <v>57</v>
      </c>
      <c r="C61" s="25"/>
      <c r="D61" s="25" t="s">
        <v>75</v>
      </c>
      <c r="E61" s="26" t="s">
        <v>27</v>
      </c>
      <c r="F61" s="29">
        <v>1.0149999999999999</v>
      </c>
      <c r="G61" s="27"/>
      <c r="H61" s="27"/>
      <c r="I61" s="27"/>
      <c r="J61" s="28">
        <v>11.94</v>
      </c>
      <c r="K61" s="28">
        <f>SUM($G$61:$J$61)</f>
        <v>11.94</v>
      </c>
      <c r="L61" s="32">
        <f t="array" ref="L61">INDEX(М[Цена за ед., руб],MATCH(1,IF(($B61=М[Наим.])*($C61=М[Артикул, марка, произв.])*($D61=М[Хар-ка])*($N61=М[Прим.]),{1},($B61=М[Наим.])*($C61=М[Артикул, марка, произв.])*($D61=М[Хар-ка])*($N61=М[Прим.])),0))</f>
        <v>0</v>
      </c>
      <c r="M61" s="32">
        <f>ROUND($K$61*$L$61,2)</f>
        <v>0</v>
      </c>
      <c r="N61" s="25" t="s">
        <v>86</v>
      </c>
      <c r="O61" s="25" t="str">
        <f t="array" ref="O61">INDEX(М[Форма закупа],MATCH(1,IF(($B61=М[Наим.])*($C61=М[Артикул, марка, произв.])*($D61=М[Хар-ка])*($N61=М[Прим.]),{1},($B61=М[Наим.])*($C61=М[Артикул, марка, произв.])*($D61=М[Хар-ка])*($N61=М[Прим.])),0))</f>
        <v>Закупка подрядчик</v>
      </c>
    </row>
    <row r="62" spans="1:15" ht="10.95" customHeight="1" outlineLevel="4" x14ac:dyDescent="0.2">
      <c r="A62" s="20"/>
      <c r="B62" s="14" t="s">
        <v>25</v>
      </c>
      <c r="C62" s="21"/>
      <c r="D62" s="21"/>
      <c r="E62" s="21"/>
      <c r="F62" s="21"/>
      <c r="G62" s="21"/>
      <c r="H62" s="21"/>
      <c r="I62" s="21"/>
      <c r="J62" s="21"/>
      <c r="K62" s="21"/>
      <c r="L62" s="85"/>
      <c r="M62" s="86">
        <f>SUM($M$63)</f>
        <v>0</v>
      </c>
      <c r="N62" s="18"/>
      <c r="O62" s="22"/>
    </row>
    <row r="63" spans="1:15" ht="22.95" customHeight="1" outlineLevel="4" x14ac:dyDescent="0.2">
      <c r="A63" s="23"/>
      <c r="B63" s="24" t="s">
        <v>87</v>
      </c>
      <c r="C63" s="25"/>
      <c r="D63" s="25"/>
      <c r="E63" s="26" t="s">
        <v>27</v>
      </c>
      <c r="F63" s="27"/>
      <c r="G63" s="32">
        <v>1019.74</v>
      </c>
      <c r="H63" s="28">
        <v>824.79</v>
      </c>
      <c r="I63" s="31">
        <v>527.1</v>
      </c>
      <c r="J63" s="28">
        <v>29.62</v>
      </c>
      <c r="K63" s="32">
        <f>SUM($G$63:$J$63)</f>
        <v>2401.25</v>
      </c>
      <c r="L63" s="32">
        <f t="array" ref="L63">INDEX(Р[Цена за ед., руб],MATCH(1,IF(($B63=Р[Наименование])*($N63=Р[Примечание]),{1},($B63=Р[Наименование])*($N63=Р[Примечание])),0))</f>
        <v>0</v>
      </c>
      <c r="M63" s="32">
        <f>ROUND($K$63*$L$63,2)</f>
        <v>0</v>
      </c>
      <c r="N63" s="25" t="s">
        <v>88</v>
      </c>
      <c r="O63" s="25"/>
    </row>
    <row r="64" spans="1:15" ht="10.95" customHeight="1" outlineLevel="4" x14ac:dyDescent="0.2">
      <c r="A64" s="20"/>
      <c r="B64" s="14" t="s">
        <v>29</v>
      </c>
      <c r="C64" s="21"/>
      <c r="D64" s="21"/>
      <c r="E64" s="21"/>
      <c r="F64" s="21"/>
      <c r="G64" s="21"/>
      <c r="H64" s="21"/>
      <c r="I64" s="21"/>
      <c r="J64" s="21"/>
      <c r="K64" s="21"/>
      <c r="L64" s="85"/>
      <c r="M64" s="86">
        <f>SUM($M$65:$M$76)</f>
        <v>0</v>
      </c>
      <c r="N64" s="18"/>
      <c r="O64" s="22"/>
    </row>
    <row r="65" spans="1:15" ht="46.95" customHeight="1" outlineLevel="4" x14ac:dyDescent="0.2">
      <c r="A65" s="23" t="s">
        <v>30</v>
      </c>
      <c r="B65" s="24" t="s">
        <v>38</v>
      </c>
      <c r="C65" s="25"/>
      <c r="D65" s="25" t="s">
        <v>39</v>
      </c>
      <c r="E65" s="26" t="s">
        <v>40</v>
      </c>
      <c r="F65" s="29">
        <v>0.14000000000000001</v>
      </c>
      <c r="G65" s="28">
        <v>9.74</v>
      </c>
      <c r="H65" s="28">
        <v>7.87</v>
      </c>
      <c r="I65" s="28">
        <v>5.03</v>
      </c>
      <c r="J65" s="31">
        <v>0.3</v>
      </c>
      <c r="K65" s="28">
        <f>SUM($G$65:$J$65)</f>
        <v>22.94</v>
      </c>
      <c r="L65" s="32">
        <f t="array" ref="L65">INDEX(М[Цена за ед., руб],MATCH(1,IF(($B65=М[Наим.])*($C65=М[Артикул, марка, произв.])*($D65=М[Хар-ка])*($N65=М[Прим.]),{1},($B65=М[Наим.])*($C65=М[Артикул, марка, произв.])*($D65=М[Хар-ка])*($N65=М[Прим.])),0))</f>
        <v>0</v>
      </c>
      <c r="M65" s="32">
        <f>ROUND($K$65*$L$65,2)</f>
        <v>0</v>
      </c>
      <c r="N65" s="25"/>
      <c r="O65" s="25" t="str">
        <f t="array" ref="O65">INDEX(М[Форма закупа],MATCH(1,IF(($B65=М[Наим.])*($C65=М[Артикул, марка, произв.])*($D65=М[Хар-ка])*($N65=М[Прим.]),{1},($B65=М[Наим.])*($C65=М[Артикул, марка, произв.])*($D65=М[Хар-ка])*($N65=М[Прим.])),0))</f>
        <v>Закупка подрядчик</v>
      </c>
    </row>
    <row r="66" spans="1:15" ht="10.95" customHeight="1" outlineLevel="4" x14ac:dyDescent="0.2">
      <c r="A66" s="23" t="s">
        <v>34</v>
      </c>
      <c r="B66" s="24" t="s">
        <v>42</v>
      </c>
      <c r="C66" s="25"/>
      <c r="D66" s="25" t="s">
        <v>43</v>
      </c>
      <c r="E66" s="26" t="s">
        <v>27</v>
      </c>
      <c r="F66" s="29">
        <v>7.6999999999999999E-2</v>
      </c>
      <c r="G66" s="28">
        <v>5.36</v>
      </c>
      <c r="H66" s="28">
        <v>4.33</v>
      </c>
      <c r="I66" s="28">
        <v>2.77</v>
      </c>
      <c r="J66" s="28">
        <v>0.16</v>
      </c>
      <c r="K66" s="28">
        <f>SUM($G$66:$J$66)</f>
        <v>12.620000000000001</v>
      </c>
      <c r="L66" s="32">
        <f t="array" ref="L66">INDEX(М[Цена за ед., руб],MATCH(1,IF(($B66=М[Наим.])*($C66=М[Артикул, марка, произв.])*($D66=М[Хар-ка])*($N66=М[Прим.]),{1},($B66=М[Наим.])*($C66=М[Артикул, марка, произв.])*($D66=М[Хар-ка])*($N66=М[Прим.])),0))</f>
        <v>0</v>
      </c>
      <c r="M66" s="32">
        <f>ROUND($K$66*$L$66,2)</f>
        <v>0</v>
      </c>
      <c r="N66" s="25"/>
      <c r="O66" s="25" t="str">
        <f t="array" ref="O66">INDEX(М[Форма закупа],MATCH(1,IF(($B66=М[Наим.])*($C66=М[Артикул, марка, произв.])*($D66=М[Хар-ка])*($N66=М[Прим.]),{1},($B66=М[Наим.])*($C66=М[Артикул, марка, произв.])*($D66=М[Хар-ка])*($N66=М[Прим.])),0))</f>
        <v>Закупка подрядчик</v>
      </c>
    </row>
    <row r="67" spans="1:15" ht="22.95" customHeight="1" outlineLevel="4" x14ac:dyDescent="0.2">
      <c r="A67" s="23" t="s">
        <v>37</v>
      </c>
      <c r="B67" s="24" t="s">
        <v>45</v>
      </c>
      <c r="C67" s="25"/>
      <c r="D67" s="25" t="s">
        <v>65</v>
      </c>
      <c r="E67" s="26" t="s">
        <v>47</v>
      </c>
      <c r="F67" s="27"/>
      <c r="G67" s="30">
        <v>8</v>
      </c>
      <c r="H67" s="30">
        <v>8</v>
      </c>
      <c r="I67" s="27"/>
      <c r="J67" s="30">
        <v>8</v>
      </c>
      <c r="K67" s="30">
        <f>SUM($G$67:$J$67)</f>
        <v>24</v>
      </c>
      <c r="L67" s="32">
        <f t="array" ref="L67">INDEX(М[Цена за ед., руб],MATCH(1,IF(($B67=М[Наим.])*($C67=М[Артикул, марка, произв.])*($D67=М[Хар-ка])*($N67=М[Прим.]),{1},($B67=М[Наим.])*($C67=М[Артикул, марка, произв.])*($D67=М[Хар-ка])*($N67=М[Прим.])),0))</f>
        <v>0</v>
      </c>
      <c r="M67" s="32">
        <f>ROUND($K$67*$L$67,2)</f>
        <v>0</v>
      </c>
      <c r="N67" s="25"/>
      <c r="O67" s="25" t="str">
        <f t="array" ref="O67">INDEX(М[Форма закупа],MATCH(1,IF(($B67=М[Наим.])*($C67=М[Артикул, марка, произв.])*($D67=М[Хар-ка])*($N67=М[Прим.]),{1},($B67=М[Наим.])*($C67=М[Артикул, марка, произв.])*($D67=М[Хар-ка])*($N67=М[Прим.])),0))</f>
        <v>Закупка подрядчик</v>
      </c>
    </row>
    <row r="68" spans="1:15" ht="22.95" customHeight="1" outlineLevel="4" x14ac:dyDescent="0.2">
      <c r="A68" s="23" t="s">
        <v>41</v>
      </c>
      <c r="B68" s="24" t="s">
        <v>45</v>
      </c>
      <c r="C68" s="25"/>
      <c r="D68" s="25" t="s">
        <v>89</v>
      </c>
      <c r="E68" s="26" t="s">
        <v>47</v>
      </c>
      <c r="F68" s="27"/>
      <c r="G68" s="30">
        <v>352</v>
      </c>
      <c r="H68" s="30">
        <v>288</v>
      </c>
      <c r="I68" s="30">
        <v>184</v>
      </c>
      <c r="J68" s="27"/>
      <c r="K68" s="30">
        <f>SUM($G$68:$J$68)</f>
        <v>824</v>
      </c>
      <c r="L68" s="32">
        <f t="array" ref="L68">INDEX(М[Цена за ед., руб],MATCH(1,IF(($B68=М[Наим.])*($C68=М[Артикул, марка, произв.])*($D68=М[Хар-ка])*($N68=М[Прим.]),{1},($B68=М[Наим.])*($C68=М[Артикул, марка, произв.])*($D68=М[Хар-ка])*($N68=М[Прим.])),0))</f>
        <v>0</v>
      </c>
      <c r="M68" s="32">
        <f>ROUND($K$68*$L$68,2)</f>
        <v>0</v>
      </c>
      <c r="N68" s="25"/>
      <c r="O68" s="25" t="str">
        <f t="array" ref="O68">INDEX(М[Форма закупа],MATCH(1,IF(($B68=М[Наим.])*($C68=М[Артикул, марка, произв.])*($D68=М[Хар-ка])*($N68=М[Прим.]),{1},($B68=М[Наим.])*($C68=М[Артикул, марка, произв.])*($D68=М[Хар-ка])*($N68=М[Прим.])),0))</f>
        <v>Закупка подрядчик</v>
      </c>
    </row>
    <row r="69" spans="1:15" ht="10.95" customHeight="1" outlineLevel="4" x14ac:dyDescent="0.2">
      <c r="A69" s="23" t="s">
        <v>44</v>
      </c>
      <c r="B69" s="24" t="s">
        <v>49</v>
      </c>
      <c r="C69" s="25"/>
      <c r="D69" s="25" t="s">
        <v>50</v>
      </c>
      <c r="E69" s="26" t="s">
        <v>27</v>
      </c>
      <c r="F69" s="29">
        <v>1.4999999999999999E-2</v>
      </c>
      <c r="G69" s="31">
        <v>15.3</v>
      </c>
      <c r="H69" s="28">
        <v>12.37</v>
      </c>
      <c r="I69" s="28">
        <v>7.91</v>
      </c>
      <c r="J69" s="28">
        <v>0.44</v>
      </c>
      <c r="K69" s="28">
        <f>SUM($G$69:$J$69)</f>
        <v>36.019999999999996</v>
      </c>
      <c r="L69" s="32">
        <f t="array" ref="L69">INDEX(М[Цена за ед., руб],MATCH(1,IF(($B69=М[Наим.])*($C69=М[Артикул, марка, произв.])*($D69=М[Хар-ка])*($N69=М[Прим.]),{1},($B69=М[Наим.])*($C69=М[Артикул, марка, произв.])*($D69=М[Хар-ка])*($N69=М[Прим.])),0))</f>
        <v>0</v>
      </c>
      <c r="M69" s="32">
        <f>ROUND($K$69*$L$69,2)</f>
        <v>0</v>
      </c>
      <c r="N69" s="25"/>
      <c r="O69" s="25" t="str">
        <f t="array" ref="O69">INDEX(М[Форма закупа],MATCH(1,IF(($B69=М[Наим.])*($C69=М[Артикул, марка, произв.])*($D69=М[Хар-ка])*($N69=М[Прим.]),{1},($B69=М[Наим.])*($C69=М[Артикул, марка, произв.])*($D69=М[Хар-ка])*($N69=М[Прим.])),0))</f>
        <v>Закупка подрядчик</v>
      </c>
    </row>
    <row r="70" spans="1:15" ht="10.95" customHeight="1" outlineLevel="4" x14ac:dyDescent="0.2">
      <c r="A70" s="23" t="s">
        <v>48</v>
      </c>
      <c r="B70" s="24" t="s">
        <v>66</v>
      </c>
      <c r="C70" s="25"/>
      <c r="D70" s="25" t="s">
        <v>67</v>
      </c>
      <c r="E70" s="26" t="s">
        <v>27</v>
      </c>
      <c r="F70" s="29">
        <v>1.0149999999999999</v>
      </c>
      <c r="G70" s="31">
        <v>174.8</v>
      </c>
      <c r="H70" s="28">
        <v>140.69</v>
      </c>
      <c r="I70" s="28">
        <v>89.56</v>
      </c>
      <c r="J70" s="28">
        <v>8.1300000000000008</v>
      </c>
      <c r="K70" s="28">
        <f>SUM($G$70:$J$70)</f>
        <v>413.18</v>
      </c>
      <c r="L70" s="32">
        <f t="array" ref="L70">INDEX(М[Цена за ед., руб],MATCH(1,IF(($B70=М[Наим.])*($C70=М[Артикул, марка, произв.])*($D70=М[Хар-ка])*($N70=М[Прим.]),{1},($B70=М[Наим.])*($C70=М[Артикул, марка, произв.])*($D70=М[Хар-ка])*($N70=М[Прим.])),0))</f>
        <v>0</v>
      </c>
      <c r="M70" s="32">
        <f>ROUND($K$70*$L$70,2)</f>
        <v>0</v>
      </c>
      <c r="N70" s="25"/>
      <c r="O70" s="25" t="str">
        <f t="array" ref="O70">INDEX(М[Форма закупа],MATCH(1,IF(($B70=М[Наим.])*($C70=М[Артикул, марка, произв.])*($D70=М[Хар-ка])*($N70=М[Прим.]),{1},($B70=М[Наим.])*($C70=М[Артикул, марка, произв.])*($D70=М[Хар-ка])*($N70=М[Прим.])),0))</f>
        <v>Закупка подрядчик</v>
      </c>
    </row>
    <row r="71" spans="1:15" ht="10.95" customHeight="1" outlineLevel="4" x14ac:dyDescent="0.2">
      <c r="A71" s="23" t="s">
        <v>51</v>
      </c>
      <c r="B71" s="24" t="s">
        <v>66</v>
      </c>
      <c r="C71" s="25"/>
      <c r="D71" s="25" t="s">
        <v>85</v>
      </c>
      <c r="E71" s="26" t="s">
        <v>27</v>
      </c>
      <c r="F71" s="29">
        <v>1.0149999999999999</v>
      </c>
      <c r="G71" s="28">
        <v>242.76</v>
      </c>
      <c r="H71" s="28">
        <v>199.95</v>
      </c>
      <c r="I71" s="28">
        <v>123.08</v>
      </c>
      <c r="J71" s="31">
        <v>7.3</v>
      </c>
      <c r="K71" s="28">
        <f>SUM($G$71:$J$71)</f>
        <v>573.08999999999992</v>
      </c>
      <c r="L71" s="32">
        <f t="array" ref="L71">INDEX(М[Цена за ед., руб],MATCH(1,IF(($B71=М[Наим.])*($C71=М[Артикул, марка, произв.])*($D71=М[Хар-ка])*($N71=М[Прим.]),{1},($B71=М[Наим.])*($C71=М[Артикул, марка, произв.])*($D71=М[Хар-ка])*($N71=М[Прим.])),0))</f>
        <v>0</v>
      </c>
      <c r="M71" s="32">
        <f>ROUND($K$71*$L$71,2)</f>
        <v>0</v>
      </c>
      <c r="N71" s="25"/>
      <c r="O71" s="25" t="str">
        <f t="array" ref="O71">INDEX(М[Форма закупа],MATCH(1,IF(($B71=М[Наим.])*($C71=М[Артикул, марка, произв.])*($D71=М[Хар-ка])*($N71=М[Прим.]),{1},($B71=М[Наим.])*($C71=М[Артикул, марка, произв.])*($D71=М[Хар-ка])*($N71=М[Прим.])),0))</f>
        <v>Закупка подрядчик</v>
      </c>
    </row>
    <row r="72" spans="1:15" ht="10.95" customHeight="1" outlineLevel="4" x14ac:dyDescent="0.2">
      <c r="A72" s="23" t="s">
        <v>69</v>
      </c>
      <c r="B72" s="24" t="s">
        <v>66</v>
      </c>
      <c r="C72" s="25"/>
      <c r="D72" s="25" t="s">
        <v>68</v>
      </c>
      <c r="E72" s="26" t="s">
        <v>27</v>
      </c>
      <c r="F72" s="29">
        <v>1.0149999999999999</v>
      </c>
      <c r="G72" s="28">
        <v>262.44</v>
      </c>
      <c r="H72" s="28">
        <v>209.76</v>
      </c>
      <c r="I72" s="28">
        <v>136.52000000000001</v>
      </c>
      <c r="J72" s="28">
        <v>9.43</v>
      </c>
      <c r="K72" s="28">
        <f>SUM($G$72:$J$72)</f>
        <v>618.15</v>
      </c>
      <c r="L72" s="32">
        <f t="array" ref="L72">INDEX(М[Цена за ед., руб],MATCH(1,IF(($B72=М[Наим.])*($C72=М[Артикул, марка, произв.])*($D72=М[Хар-ка])*($N72=М[Прим.]),{1},($B72=М[Наим.])*($C72=М[Артикул, марка, произв.])*($D72=М[Хар-ка])*($N72=М[Прим.])),0))</f>
        <v>0</v>
      </c>
      <c r="M72" s="32">
        <f>ROUND($K$72*$L$72,2)</f>
        <v>0</v>
      </c>
      <c r="N72" s="25"/>
      <c r="O72" s="25" t="str">
        <f t="array" ref="O72">INDEX(М[Форма закупа],MATCH(1,IF(($B72=М[Наим.])*($C72=М[Артикул, марка, произв.])*($D72=М[Хар-ка])*($N72=М[Прим.]),{1},($B72=М[Наим.])*($C72=М[Артикул, марка, произв.])*($D72=М[Хар-ка])*($N72=М[Прим.])),0))</f>
        <v>Закупка подрядчик</v>
      </c>
    </row>
    <row r="73" spans="1:15" ht="10.95" customHeight="1" outlineLevel="4" x14ac:dyDescent="0.2">
      <c r="A73" s="23" t="s">
        <v>71</v>
      </c>
      <c r="B73" s="24" t="s">
        <v>66</v>
      </c>
      <c r="C73" s="25"/>
      <c r="D73" s="25" t="s">
        <v>70</v>
      </c>
      <c r="E73" s="26" t="s">
        <v>27</v>
      </c>
      <c r="F73" s="29">
        <v>1.0149999999999999</v>
      </c>
      <c r="G73" s="28">
        <v>217.69</v>
      </c>
      <c r="H73" s="28">
        <v>174.31</v>
      </c>
      <c r="I73" s="31">
        <v>114.3</v>
      </c>
      <c r="J73" s="28">
        <v>4.7300000000000004</v>
      </c>
      <c r="K73" s="28">
        <f>SUM($G$73:$J$73)</f>
        <v>511.03000000000003</v>
      </c>
      <c r="L73" s="32">
        <f t="array" ref="L73">INDEX(М[Цена за ед., руб],MATCH(1,IF(($B73=М[Наим.])*($C73=М[Артикул, марка, произв.])*($D73=М[Хар-ка])*($N73=М[Прим.]),{1},($B73=М[Наим.])*($C73=М[Артикул, марка, произв.])*($D73=М[Хар-ка])*($N73=М[Прим.])),0))</f>
        <v>0</v>
      </c>
      <c r="M73" s="32">
        <f>ROUND($K$73*$L$73,2)</f>
        <v>0</v>
      </c>
      <c r="N73" s="25"/>
      <c r="O73" s="25" t="str">
        <f t="array" ref="O73">INDEX(М[Форма закупа],MATCH(1,IF(($B73=М[Наим.])*($C73=М[Артикул, марка, произв.])*($D73=М[Хар-ка])*($N73=М[Прим.]),{1},($B73=М[Наим.])*($C73=М[Артикул, марка, произв.])*($D73=М[Хар-ка])*($N73=М[Прим.])),0))</f>
        <v>Закупка подрядчик</v>
      </c>
    </row>
    <row r="74" spans="1:15" ht="10.95" customHeight="1" outlineLevel="4" x14ac:dyDescent="0.2">
      <c r="A74" s="23" t="s">
        <v>74</v>
      </c>
      <c r="B74" s="24" t="s">
        <v>57</v>
      </c>
      <c r="C74" s="25"/>
      <c r="D74" s="25" t="s">
        <v>58</v>
      </c>
      <c r="E74" s="26" t="s">
        <v>27</v>
      </c>
      <c r="F74" s="29">
        <v>1.0149999999999999</v>
      </c>
      <c r="G74" s="28">
        <v>116.67</v>
      </c>
      <c r="H74" s="28">
        <v>95.46</v>
      </c>
      <c r="I74" s="28">
        <v>60.99</v>
      </c>
      <c r="J74" s="27"/>
      <c r="K74" s="28">
        <f>SUM($G$74:$J$74)</f>
        <v>273.12</v>
      </c>
      <c r="L74" s="32">
        <f t="array" ref="L74">INDEX(М[Цена за ед., руб],MATCH(1,IF(($B74=М[Наим.])*($C74=М[Артикул, марка, произв.])*($D74=М[Хар-ка])*($N74=М[Прим.]),{1},($B74=М[Наим.])*($C74=М[Артикул, марка, произв.])*($D74=М[Хар-ка])*($N74=М[Прим.])),0))</f>
        <v>0</v>
      </c>
      <c r="M74" s="32">
        <f>ROUND($K$74*$L$74,2)</f>
        <v>0</v>
      </c>
      <c r="N74" s="25" t="s">
        <v>90</v>
      </c>
      <c r="O74" s="25" t="str">
        <f t="array" ref="O74">INDEX(М[Форма закупа],MATCH(1,IF(($B74=М[Наим.])*($C74=М[Артикул, марка, произв.])*($D74=М[Хар-ка])*($N74=М[Прим.]),{1},($B74=М[Наим.])*($C74=М[Артикул, марка, произв.])*($D74=М[Хар-ка])*($N74=М[Прим.])),0))</f>
        <v>Закупка подрядчик</v>
      </c>
    </row>
    <row r="75" spans="1:15" ht="10.95" customHeight="1" outlineLevel="4" x14ac:dyDescent="0.2">
      <c r="A75" s="23" t="s">
        <v>77</v>
      </c>
      <c r="B75" s="24" t="s">
        <v>57</v>
      </c>
      <c r="C75" s="25"/>
      <c r="D75" s="25" t="s">
        <v>75</v>
      </c>
      <c r="E75" s="26" t="s">
        <v>27</v>
      </c>
      <c r="F75" s="29">
        <v>1.0149999999999999</v>
      </c>
      <c r="G75" s="28">
        <v>0.48</v>
      </c>
      <c r="H75" s="28">
        <v>0.48</v>
      </c>
      <c r="I75" s="27"/>
      <c r="J75" s="28">
        <v>0.48</v>
      </c>
      <c r="K75" s="28">
        <f>SUM($G$75:$J$75)</f>
        <v>1.44</v>
      </c>
      <c r="L75" s="32">
        <f t="array" ref="L75">INDEX(М[Цена за ед., руб],MATCH(1,IF(($B75=М[Наим.])*($C75=М[Артикул, марка, произв.])*($D75=М[Хар-ка])*($N75=М[Прим.]),{1},($B75=М[Наим.])*($C75=М[Артикул, марка, произв.])*($D75=М[Хар-ка])*($N75=М[Прим.])),0))</f>
        <v>0</v>
      </c>
      <c r="M75" s="32">
        <f>ROUND($K$75*$L$75,2)</f>
        <v>0</v>
      </c>
      <c r="N75" s="25" t="s">
        <v>91</v>
      </c>
      <c r="O75" s="25" t="str">
        <f t="array" ref="O75">INDEX(М[Форма закупа],MATCH(1,IF(($B75=М[Наим.])*($C75=М[Артикул, марка, произв.])*($D75=М[Хар-ка])*($N75=М[Прим.]),{1},($B75=М[Наим.])*($C75=М[Артикул, марка, произв.])*($D75=М[Хар-ка])*($N75=М[Прим.])),0))</f>
        <v>Закупка подрядчик</v>
      </c>
    </row>
    <row r="76" spans="1:15" ht="10.95" customHeight="1" outlineLevel="4" x14ac:dyDescent="0.2">
      <c r="A76" s="23" t="s">
        <v>80</v>
      </c>
      <c r="B76" s="24" t="s">
        <v>57</v>
      </c>
      <c r="C76" s="25"/>
      <c r="D76" s="25" t="s">
        <v>92</v>
      </c>
      <c r="E76" s="26" t="s">
        <v>27</v>
      </c>
      <c r="F76" s="29">
        <v>1.0149999999999999</v>
      </c>
      <c r="G76" s="28">
        <v>20.190000000000001</v>
      </c>
      <c r="H76" s="28">
        <v>16.52</v>
      </c>
      <c r="I76" s="28">
        <v>10.56</v>
      </c>
      <c r="J76" s="27"/>
      <c r="K76" s="28">
        <f>SUM($G$76:$J$76)</f>
        <v>47.27</v>
      </c>
      <c r="L76" s="32">
        <f t="array" ref="L76">INDEX(М[Цена за ед., руб],MATCH(1,IF(($B76=М[Наим.])*($C76=М[Артикул, марка, произв.])*($D76=М[Хар-ка])*($N76=М[Прим.]),{1},($B76=М[Наим.])*($C76=М[Артикул, марка, произв.])*($D76=М[Хар-ка])*($N76=М[Прим.])),0))</f>
        <v>0</v>
      </c>
      <c r="M76" s="32">
        <f>ROUND($K$76*$L$76,2)</f>
        <v>0</v>
      </c>
      <c r="N76" s="25" t="s">
        <v>93</v>
      </c>
      <c r="O76" s="25" t="str">
        <f t="array" ref="O76">INDEX(М[Форма закупа],MATCH(1,IF(($B76=М[Наим.])*($C76=М[Артикул, марка, произв.])*($D76=М[Хар-ка])*($N76=М[Прим.]),{1},($B76=М[Наим.])*($C76=М[Артикул, марка, произв.])*($D76=М[Хар-ка])*($N76=М[Прим.])),0))</f>
        <v>Закупка подрядчик</v>
      </c>
    </row>
    <row r="77" spans="1:15" ht="10.95" customHeight="1" outlineLevel="4" x14ac:dyDescent="0.2">
      <c r="A77" s="20"/>
      <c r="B77" s="14" t="s">
        <v>25</v>
      </c>
      <c r="C77" s="21"/>
      <c r="D77" s="21"/>
      <c r="E77" s="21"/>
      <c r="F77" s="21"/>
      <c r="G77" s="21"/>
      <c r="H77" s="21"/>
      <c r="I77" s="21"/>
      <c r="J77" s="21"/>
      <c r="K77" s="21"/>
      <c r="L77" s="85"/>
      <c r="M77" s="86">
        <f>SUM($M$78)</f>
        <v>0</v>
      </c>
      <c r="N77" s="18"/>
      <c r="O77" s="22"/>
    </row>
    <row r="78" spans="1:15" ht="22.95" customHeight="1" outlineLevel="4" x14ac:dyDescent="0.2">
      <c r="A78" s="23"/>
      <c r="B78" s="24" t="s">
        <v>94</v>
      </c>
      <c r="C78" s="25"/>
      <c r="D78" s="25"/>
      <c r="E78" s="26" t="s">
        <v>27</v>
      </c>
      <c r="F78" s="27"/>
      <c r="G78" s="28">
        <v>36.49</v>
      </c>
      <c r="H78" s="28">
        <v>36.49</v>
      </c>
      <c r="I78" s="28">
        <v>79.709999999999994</v>
      </c>
      <c r="J78" s="27"/>
      <c r="K78" s="28">
        <f>SUM($G$78:$J$78)</f>
        <v>152.69</v>
      </c>
      <c r="L78" s="32">
        <f t="array" ref="L78">INDEX(Р[Цена за ед., руб],MATCH(1,IF(($B78=Р[Наименование])*($N78=Р[Примечание]),{1},($B78=Р[Наименование])*($N78=Р[Примечание])),0))</f>
        <v>0</v>
      </c>
      <c r="M78" s="32">
        <f>ROUND($K$78*$L$78,2)</f>
        <v>0</v>
      </c>
      <c r="N78" s="25" t="s">
        <v>95</v>
      </c>
      <c r="O78" s="25"/>
    </row>
    <row r="79" spans="1:15" ht="10.95" customHeight="1" outlineLevel="4" x14ac:dyDescent="0.2">
      <c r="A79" s="20"/>
      <c r="B79" s="14" t="s">
        <v>29</v>
      </c>
      <c r="C79" s="21"/>
      <c r="D79" s="21"/>
      <c r="E79" s="21"/>
      <c r="F79" s="21"/>
      <c r="G79" s="21"/>
      <c r="H79" s="21"/>
      <c r="I79" s="21"/>
      <c r="J79" s="21"/>
      <c r="K79" s="21"/>
      <c r="L79" s="85"/>
      <c r="M79" s="86">
        <f>SUM($M$80:$M$88)</f>
        <v>0</v>
      </c>
      <c r="N79" s="18"/>
      <c r="O79" s="22"/>
    </row>
    <row r="80" spans="1:15" ht="46.95" customHeight="1" outlineLevel="4" x14ac:dyDescent="0.2">
      <c r="A80" s="23" t="s">
        <v>30</v>
      </c>
      <c r="B80" s="24" t="s">
        <v>38</v>
      </c>
      <c r="C80" s="25"/>
      <c r="D80" s="25" t="s">
        <v>39</v>
      </c>
      <c r="E80" s="26" t="s">
        <v>40</v>
      </c>
      <c r="F80" s="29">
        <v>0.14000000000000001</v>
      </c>
      <c r="G80" s="28">
        <v>0.35</v>
      </c>
      <c r="H80" s="28">
        <v>0.35</v>
      </c>
      <c r="I80" s="28">
        <v>0.79</v>
      </c>
      <c r="J80" s="27"/>
      <c r="K80" s="28">
        <f>SUM($G$80:$J$80)</f>
        <v>1.49</v>
      </c>
      <c r="L80" s="32">
        <f t="array" ref="L80">INDEX(М[Цена за ед., руб],MATCH(1,IF(($B80=М[Наим.])*($C80=М[Артикул, марка, произв.])*($D80=М[Хар-ка])*($N80=М[Прим.]),{1},($B80=М[Наим.])*($C80=М[Артикул, марка, произв.])*($D80=М[Хар-ка])*($N80=М[Прим.])),0))</f>
        <v>0</v>
      </c>
      <c r="M80" s="32">
        <f>ROUND($K$80*$L$80,2)</f>
        <v>0</v>
      </c>
      <c r="N80" s="25"/>
      <c r="O80" s="25" t="str">
        <f t="array" ref="O80">INDEX(М[Форма закупа],MATCH(1,IF(($B80=М[Наим.])*($C80=М[Артикул, марка, произв.])*($D80=М[Хар-ка])*($N80=М[Прим.]),{1},($B80=М[Наим.])*($C80=М[Артикул, марка, произв.])*($D80=М[Хар-ка])*($N80=М[Прим.])),0))</f>
        <v>Закупка подрядчик</v>
      </c>
    </row>
    <row r="81" spans="1:15" ht="10.95" customHeight="1" outlineLevel="4" x14ac:dyDescent="0.2">
      <c r="A81" s="23" t="s">
        <v>34</v>
      </c>
      <c r="B81" s="24" t="s">
        <v>42</v>
      </c>
      <c r="C81" s="25"/>
      <c r="D81" s="25" t="s">
        <v>43</v>
      </c>
      <c r="E81" s="26" t="s">
        <v>27</v>
      </c>
      <c r="F81" s="29">
        <v>7.6999999999999999E-2</v>
      </c>
      <c r="G81" s="28">
        <v>0.19</v>
      </c>
      <c r="H81" s="28">
        <v>0.19</v>
      </c>
      <c r="I81" s="28">
        <v>0.43</v>
      </c>
      <c r="J81" s="27"/>
      <c r="K81" s="28">
        <f>SUM($G$81:$J$81)</f>
        <v>0.81</v>
      </c>
      <c r="L81" s="32">
        <f t="array" ref="L81">INDEX(М[Цена за ед., руб],MATCH(1,IF(($B81=М[Наим.])*($C81=М[Артикул, марка, произв.])*($D81=М[Хар-ка])*($N81=М[Прим.]),{1},($B81=М[Наим.])*($C81=М[Артикул, марка, произв.])*($D81=М[Хар-ка])*($N81=М[Прим.])),0))</f>
        <v>0</v>
      </c>
      <c r="M81" s="32">
        <f>ROUND($K$81*$L$81,2)</f>
        <v>0</v>
      </c>
      <c r="N81" s="25"/>
      <c r="O81" s="25" t="str">
        <f t="array" ref="O81">INDEX(М[Форма закупа],MATCH(1,IF(($B81=М[Наим.])*($C81=М[Артикул, марка, произв.])*($D81=М[Хар-ка])*($N81=М[Прим.]),{1},($B81=М[Наим.])*($C81=М[Артикул, марка, произв.])*($D81=М[Хар-ка])*($N81=М[Прим.])),0))</f>
        <v>Закупка подрядчик</v>
      </c>
    </row>
    <row r="82" spans="1:15" ht="22.95" customHeight="1" outlineLevel="4" x14ac:dyDescent="0.2">
      <c r="A82" s="23" t="s">
        <v>37</v>
      </c>
      <c r="B82" s="24" t="s">
        <v>45</v>
      </c>
      <c r="C82" s="25"/>
      <c r="D82" s="25" t="s">
        <v>65</v>
      </c>
      <c r="E82" s="26" t="s">
        <v>47</v>
      </c>
      <c r="F82" s="27"/>
      <c r="G82" s="30">
        <v>16</v>
      </c>
      <c r="H82" s="30">
        <v>16</v>
      </c>
      <c r="I82" s="30">
        <v>26</v>
      </c>
      <c r="J82" s="27"/>
      <c r="K82" s="30">
        <f>SUM($G$82:$J$82)</f>
        <v>58</v>
      </c>
      <c r="L82" s="32">
        <f t="array" ref="L82">INDEX(М[Цена за ед., руб],MATCH(1,IF(($B82=М[Наим.])*($C82=М[Артикул, марка, произв.])*($D82=М[Хар-ка])*($N82=М[Прим.]),{1},($B82=М[Наим.])*($C82=М[Артикул, марка, произв.])*($D82=М[Хар-ка])*($N82=М[Прим.])),0))</f>
        <v>0</v>
      </c>
      <c r="M82" s="32">
        <f>ROUND($K$82*$L$82,2)</f>
        <v>0</v>
      </c>
      <c r="N82" s="25"/>
      <c r="O82" s="25" t="str">
        <f t="array" ref="O82">INDEX(М[Форма закупа],MATCH(1,IF(($B82=М[Наим.])*($C82=М[Артикул, марка, произв.])*($D82=М[Хар-ка])*($N82=М[Прим.]),{1},($B82=М[Наим.])*($C82=М[Артикул, марка, произв.])*($D82=М[Хар-ка])*($N82=М[Прим.])),0))</f>
        <v>Закупка подрядчик</v>
      </c>
    </row>
    <row r="83" spans="1:15" ht="10.95" customHeight="1" outlineLevel="4" x14ac:dyDescent="0.2">
      <c r="A83" s="23" t="s">
        <v>41</v>
      </c>
      <c r="B83" s="24" t="s">
        <v>49</v>
      </c>
      <c r="C83" s="25"/>
      <c r="D83" s="25" t="s">
        <v>50</v>
      </c>
      <c r="E83" s="26" t="s">
        <v>27</v>
      </c>
      <c r="F83" s="29">
        <v>1.4999999999999999E-2</v>
      </c>
      <c r="G83" s="28">
        <v>0.55000000000000004</v>
      </c>
      <c r="H83" s="28">
        <v>0.55000000000000004</v>
      </c>
      <c r="I83" s="31">
        <v>1.2</v>
      </c>
      <c r="J83" s="27"/>
      <c r="K83" s="31">
        <f>SUM($G$83:$J$83)</f>
        <v>2.2999999999999998</v>
      </c>
      <c r="L83" s="32">
        <f t="array" ref="L83">INDEX(М[Цена за ед., руб],MATCH(1,IF(($B83=М[Наим.])*($C83=М[Артикул, марка, произв.])*($D83=М[Хар-ка])*($N83=М[Прим.]),{1},($B83=М[Наим.])*($C83=М[Артикул, марка, произв.])*($D83=М[Хар-ка])*($N83=М[Прим.])),0))</f>
        <v>0</v>
      </c>
      <c r="M83" s="32">
        <f>ROUND($K$83*$L$83,2)</f>
        <v>0</v>
      </c>
      <c r="N83" s="25"/>
      <c r="O83" s="25" t="str">
        <f t="array" ref="O83">INDEX(М[Форма закупа],MATCH(1,IF(($B83=М[Наим.])*($C83=М[Артикул, марка, произв.])*($D83=М[Хар-ка])*($N83=М[Прим.]),{1},($B83=М[Наим.])*($C83=М[Артикул, марка, произв.])*($D83=М[Хар-ка])*($N83=М[Прим.])),0))</f>
        <v>Закупка подрядчик</v>
      </c>
    </row>
    <row r="84" spans="1:15" ht="10.95" customHeight="1" outlineLevel="4" x14ac:dyDescent="0.2">
      <c r="A84" s="23" t="s">
        <v>44</v>
      </c>
      <c r="B84" s="24" t="s">
        <v>66</v>
      </c>
      <c r="C84" s="25"/>
      <c r="D84" s="25" t="s">
        <v>67</v>
      </c>
      <c r="E84" s="26" t="s">
        <v>27</v>
      </c>
      <c r="F84" s="29">
        <v>1.0149999999999999</v>
      </c>
      <c r="G84" s="28">
        <v>10.09</v>
      </c>
      <c r="H84" s="28">
        <v>10.09</v>
      </c>
      <c r="I84" s="28">
        <v>21.93</v>
      </c>
      <c r="J84" s="27"/>
      <c r="K84" s="28">
        <f>SUM($G$84:$J$84)</f>
        <v>42.11</v>
      </c>
      <c r="L84" s="32">
        <f t="array" ref="L84">INDEX(М[Цена за ед., руб],MATCH(1,IF(($B84=М[Наим.])*($C84=М[Артикул, марка, произв.])*($D84=М[Хар-ка])*($N84=М[Прим.]),{1},($B84=М[Наим.])*($C84=М[Артикул, марка, произв.])*($D84=М[Хар-ка])*($N84=М[Прим.])),0))</f>
        <v>0</v>
      </c>
      <c r="M84" s="32">
        <f>ROUND($K$84*$L$84,2)</f>
        <v>0</v>
      </c>
      <c r="N84" s="25"/>
      <c r="O84" s="25" t="str">
        <f t="array" ref="O84">INDEX(М[Форма закупа],MATCH(1,IF(($B84=М[Наим.])*($C84=М[Артикул, марка, произв.])*($D84=М[Хар-ка])*($N84=М[Прим.]),{1},($B84=М[Наим.])*($C84=М[Артикул, марка, произв.])*($D84=М[Хар-ка])*($N84=М[Прим.])),0))</f>
        <v>Закупка подрядчик</v>
      </c>
    </row>
    <row r="85" spans="1:15" ht="10.95" customHeight="1" outlineLevel="4" x14ac:dyDescent="0.2">
      <c r="A85" s="23" t="s">
        <v>48</v>
      </c>
      <c r="B85" s="24" t="s">
        <v>66</v>
      </c>
      <c r="C85" s="25"/>
      <c r="D85" s="25" t="s">
        <v>85</v>
      </c>
      <c r="E85" s="26" t="s">
        <v>27</v>
      </c>
      <c r="F85" s="29">
        <v>1.0149999999999999</v>
      </c>
      <c r="G85" s="28">
        <v>10.56</v>
      </c>
      <c r="H85" s="28">
        <v>10.56</v>
      </c>
      <c r="I85" s="28">
        <v>25.32</v>
      </c>
      <c r="J85" s="27"/>
      <c r="K85" s="28">
        <f>SUM($G$85:$J$85)</f>
        <v>46.44</v>
      </c>
      <c r="L85" s="32">
        <f t="array" ref="L85">INDEX(М[Цена за ед., руб],MATCH(1,IF(($B85=М[Наим.])*($C85=М[Артикул, марка, произв.])*($D85=М[Хар-ка])*($N85=М[Прим.]),{1},($B85=М[Наим.])*($C85=М[Артикул, марка, произв.])*($D85=М[Хар-ка])*($N85=М[Прим.])),0))</f>
        <v>0</v>
      </c>
      <c r="M85" s="32">
        <f>ROUND($K$85*$L$85,2)</f>
        <v>0</v>
      </c>
      <c r="N85" s="25"/>
      <c r="O85" s="25" t="str">
        <f t="array" ref="O85">INDEX(М[Форма закупа],MATCH(1,IF(($B85=М[Наим.])*($C85=М[Артикул, марка, произв.])*($D85=М[Хар-ка])*($N85=М[Прим.]),{1},($B85=М[Наим.])*($C85=М[Артикул, марка, произв.])*($D85=М[Хар-ка])*($N85=М[Прим.])),0))</f>
        <v>Закупка подрядчик</v>
      </c>
    </row>
    <row r="86" spans="1:15" ht="10.95" customHeight="1" outlineLevel="4" x14ac:dyDescent="0.2">
      <c r="A86" s="23" t="s">
        <v>51</v>
      </c>
      <c r="B86" s="24" t="s">
        <v>66</v>
      </c>
      <c r="C86" s="25"/>
      <c r="D86" s="25" t="s">
        <v>68</v>
      </c>
      <c r="E86" s="26" t="s">
        <v>27</v>
      </c>
      <c r="F86" s="29">
        <v>1.0149999999999999</v>
      </c>
      <c r="G86" s="28">
        <v>8.67</v>
      </c>
      <c r="H86" s="28">
        <v>8.67</v>
      </c>
      <c r="I86" s="28">
        <v>20.260000000000002</v>
      </c>
      <c r="J86" s="27"/>
      <c r="K86" s="31">
        <f>SUM($G$86:$J$86)</f>
        <v>37.6</v>
      </c>
      <c r="L86" s="32">
        <f t="array" ref="L86">INDEX(М[Цена за ед., руб],MATCH(1,IF(($B86=М[Наим.])*($C86=М[Артикул, марка, произв.])*($D86=М[Хар-ка])*($N86=М[Прим.]),{1},($B86=М[Наим.])*($C86=М[Артикул, марка, произв.])*($D86=М[Хар-ка])*($N86=М[Прим.])),0))</f>
        <v>0</v>
      </c>
      <c r="M86" s="32">
        <f>ROUND($K$86*$L$86,2)</f>
        <v>0</v>
      </c>
      <c r="N86" s="25"/>
      <c r="O86" s="25" t="str">
        <f t="array" ref="O86">INDEX(М[Форма закупа],MATCH(1,IF(($B86=М[Наим.])*($C86=М[Артикул, марка, произв.])*($D86=М[Хар-ка])*($N86=М[Прим.]),{1},($B86=М[Наим.])*($C86=М[Артикул, марка, произв.])*($D86=М[Хар-ка])*($N86=М[Прим.])),0))</f>
        <v>Закупка подрядчик</v>
      </c>
    </row>
    <row r="87" spans="1:15" ht="10.95" customHeight="1" outlineLevel="4" x14ac:dyDescent="0.2">
      <c r="A87" s="23" t="s">
        <v>69</v>
      </c>
      <c r="B87" s="24" t="s">
        <v>66</v>
      </c>
      <c r="C87" s="25"/>
      <c r="D87" s="25" t="s">
        <v>70</v>
      </c>
      <c r="E87" s="26" t="s">
        <v>27</v>
      </c>
      <c r="F87" s="29">
        <v>1.0149999999999999</v>
      </c>
      <c r="G87" s="28">
        <v>4.49</v>
      </c>
      <c r="H87" s="28">
        <v>4.49</v>
      </c>
      <c r="I87" s="28">
        <v>10.16</v>
      </c>
      <c r="J87" s="27"/>
      <c r="K87" s="28">
        <f>SUM($G$87:$J$87)</f>
        <v>19.14</v>
      </c>
      <c r="L87" s="32">
        <f t="array" ref="L87">INDEX(М[Цена за ед., руб],MATCH(1,IF(($B87=М[Наим.])*($C87=М[Артикул, марка, произв.])*($D87=М[Хар-ка])*($N87=М[Прим.]),{1},($B87=М[Наим.])*($C87=М[Артикул, марка, произв.])*($D87=М[Хар-ка])*($N87=М[Прим.])),0))</f>
        <v>0</v>
      </c>
      <c r="M87" s="32">
        <f>ROUND($K$87*$L$87,2)</f>
        <v>0</v>
      </c>
      <c r="N87" s="25"/>
      <c r="O87" s="25" t="str">
        <f t="array" ref="O87">INDEX(М[Форма закупа],MATCH(1,IF(($B87=М[Наим.])*($C87=М[Артикул, марка, произв.])*($D87=М[Хар-ка])*($N87=М[Прим.]),{1},($B87=М[Наим.])*($C87=М[Артикул, марка, произв.])*($D87=М[Хар-ка])*($N87=М[Прим.])),0))</f>
        <v>Закупка подрядчик</v>
      </c>
    </row>
    <row r="88" spans="1:15" ht="10.95" customHeight="1" outlineLevel="4" x14ac:dyDescent="0.2">
      <c r="A88" s="23" t="s">
        <v>71</v>
      </c>
      <c r="B88" s="24" t="s">
        <v>57</v>
      </c>
      <c r="C88" s="25"/>
      <c r="D88" s="25" t="s">
        <v>75</v>
      </c>
      <c r="E88" s="26" t="s">
        <v>27</v>
      </c>
      <c r="F88" s="29">
        <v>1.0149999999999999</v>
      </c>
      <c r="G88" s="28">
        <v>3.23</v>
      </c>
      <c r="H88" s="28">
        <v>3.23</v>
      </c>
      <c r="I88" s="28">
        <v>3.23</v>
      </c>
      <c r="J88" s="27"/>
      <c r="K88" s="28">
        <f>SUM($G$88:$J$88)</f>
        <v>9.69</v>
      </c>
      <c r="L88" s="32">
        <f t="array" ref="L88">INDEX(М[Цена за ед., руб],MATCH(1,IF(($B88=М[Наим.])*($C88=М[Артикул, марка, произв.])*($D88=М[Хар-ка])*($N88=М[Прим.]),{1},($B88=М[Наим.])*($C88=М[Артикул, марка, произв.])*($D88=М[Хар-ка])*($N88=М[Прим.])),0))</f>
        <v>0</v>
      </c>
      <c r="M88" s="32">
        <f>ROUND($K$88*$L$88,2)</f>
        <v>0</v>
      </c>
      <c r="N88" s="25" t="s">
        <v>96</v>
      </c>
      <c r="O88" s="25" t="str">
        <f t="array" ref="O88">INDEX(М[Форма закупа],MATCH(1,IF(($B88=М[Наим.])*($C88=М[Артикул, марка, произв.])*($D88=М[Хар-ка])*($N88=М[Прим.]),{1},($B88=М[Наим.])*($C88=М[Артикул, марка, произв.])*($D88=М[Хар-ка])*($N88=М[Прим.])),0))</f>
        <v>Закупка подрядчик</v>
      </c>
    </row>
    <row r="89" spans="1:15" ht="10.95" customHeight="1" outlineLevel="4" x14ac:dyDescent="0.2">
      <c r="A89" s="20"/>
      <c r="B89" s="14" t="s">
        <v>25</v>
      </c>
      <c r="C89" s="21"/>
      <c r="D89" s="21"/>
      <c r="E89" s="21"/>
      <c r="F89" s="21"/>
      <c r="G89" s="21"/>
      <c r="H89" s="21"/>
      <c r="I89" s="21"/>
      <c r="J89" s="21"/>
      <c r="K89" s="21"/>
      <c r="L89" s="85"/>
      <c r="M89" s="86">
        <f>SUM($M$90)</f>
        <v>0</v>
      </c>
      <c r="N89" s="18"/>
      <c r="O89" s="22"/>
    </row>
    <row r="90" spans="1:15" ht="34.950000000000003" customHeight="1" outlineLevel="4" x14ac:dyDescent="0.2">
      <c r="A90" s="23"/>
      <c r="B90" s="24" t="s">
        <v>97</v>
      </c>
      <c r="C90" s="25"/>
      <c r="D90" s="25"/>
      <c r="E90" s="26" t="s">
        <v>27</v>
      </c>
      <c r="F90" s="27"/>
      <c r="G90" s="32">
        <v>1891.58</v>
      </c>
      <c r="H90" s="33">
        <v>1548.2</v>
      </c>
      <c r="I90" s="33">
        <v>1934.2</v>
      </c>
      <c r="J90" s="32">
        <v>1509.12</v>
      </c>
      <c r="K90" s="33">
        <f>SUM($G$90:$J$90)</f>
        <v>6883.0999999999995</v>
      </c>
      <c r="L90" s="32">
        <f t="array" ref="L90">INDEX(Р[Цена за ед., руб],MATCH(1,IF(($B90=Р[Наименование])*($N90=Р[Примечание]),{1},($B90=Р[Наименование])*($N90=Р[Примечание])),0))</f>
        <v>0</v>
      </c>
      <c r="M90" s="32">
        <f>ROUND($K$90*$L$90,2)</f>
        <v>0</v>
      </c>
      <c r="N90" s="25" t="s">
        <v>98</v>
      </c>
      <c r="O90" s="25"/>
    </row>
    <row r="91" spans="1:15" ht="10.95" customHeight="1" outlineLevel="4" x14ac:dyDescent="0.2">
      <c r="A91" s="20"/>
      <c r="B91" s="14" t="s">
        <v>29</v>
      </c>
      <c r="C91" s="21"/>
      <c r="D91" s="21"/>
      <c r="E91" s="21"/>
      <c r="F91" s="21"/>
      <c r="G91" s="21"/>
      <c r="H91" s="21"/>
      <c r="I91" s="21"/>
      <c r="J91" s="21"/>
      <c r="K91" s="21"/>
      <c r="L91" s="85"/>
      <c r="M91" s="86">
        <f>SUM($M$92:$M$100)</f>
        <v>0</v>
      </c>
      <c r="N91" s="18"/>
      <c r="O91" s="22"/>
    </row>
    <row r="92" spans="1:15" ht="46.95" customHeight="1" outlineLevel="4" x14ac:dyDescent="0.2">
      <c r="A92" s="23" t="s">
        <v>30</v>
      </c>
      <c r="B92" s="24" t="s">
        <v>38</v>
      </c>
      <c r="C92" s="25"/>
      <c r="D92" s="25" t="s">
        <v>39</v>
      </c>
      <c r="E92" s="26" t="s">
        <v>40</v>
      </c>
      <c r="F92" s="29">
        <v>0.14000000000000001</v>
      </c>
      <c r="G92" s="28">
        <v>18.93</v>
      </c>
      <c r="H92" s="28">
        <v>15.49</v>
      </c>
      <c r="I92" s="28">
        <v>19.36</v>
      </c>
      <c r="J92" s="28">
        <v>15.12</v>
      </c>
      <c r="K92" s="31">
        <f>SUM($G$92:$J$92)</f>
        <v>68.900000000000006</v>
      </c>
      <c r="L92" s="32">
        <f t="array" ref="L92">INDEX(М[Цена за ед., руб],MATCH(1,IF(($B92=М[Наим.])*($C92=М[Артикул, марка, произв.])*($D92=М[Хар-ка])*($N92=М[Прим.]),{1},($B92=М[Наим.])*($C92=М[Артикул, марка, произв.])*($D92=М[Хар-ка])*($N92=М[Прим.])),0))</f>
        <v>0</v>
      </c>
      <c r="M92" s="32">
        <f>ROUND($K$92*$L$92,2)</f>
        <v>0</v>
      </c>
      <c r="N92" s="25"/>
      <c r="O92" s="25" t="str">
        <f t="array" ref="O92">INDEX(М[Форма закупа],MATCH(1,IF(($B92=М[Наим.])*($C92=М[Артикул, марка, произв.])*($D92=М[Хар-ка])*($N92=М[Прим.]),{1},($B92=М[Наим.])*($C92=М[Артикул, марка, произв.])*($D92=М[Хар-ка])*($N92=М[Прим.])),0))</f>
        <v>Закупка подрядчик</v>
      </c>
    </row>
    <row r="93" spans="1:15" ht="10.95" customHeight="1" outlineLevel="4" x14ac:dyDescent="0.2">
      <c r="A93" s="23" t="s">
        <v>34</v>
      </c>
      <c r="B93" s="24" t="s">
        <v>42</v>
      </c>
      <c r="C93" s="25"/>
      <c r="D93" s="25" t="s">
        <v>43</v>
      </c>
      <c r="E93" s="26" t="s">
        <v>27</v>
      </c>
      <c r="F93" s="29">
        <v>7.6999999999999999E-2</v>
      </c>
      <c r="G93" s="28">
        <v>10.41</v>
      </c>
      <c r="H93" s="28">
        <v>8.52</v>
      </c>
      <c r="I93" s="28">
        <v>10.65</v>
      </c>
      <c r="J93" s="28">
        <v>8.31</v>
      </c>
      <c r="K93" s="28">
        <f>SUM($G$93:$J$93)</f>
        <v>37.89</v>
      </c>
      <c r="L93" s="32">
        <f t="array" ref="L93">INDEX(М[Цена за ед., руб],MATCH(1,IF(($B93=М[Наим.])*($C93=М[Артикул, марка, произв.])*($D93=М[Хар-ка])*($N93=М[Прим.]),{1},($B93=М[Наим.])*($C93=М[Артикул, марка, произв.])*($D93=М[Хар-ка])*($N93=М[Прим.])),0))</f>
        <v>0</v>
      </c>
      <c r="M93" s="32">
        <f>ROUND($K$93*$L$93,2)</f>
        <v>0</v>
      </c>
      <c r="N93" s="25"/>
      <c r="O93" s="25" t="str">
        <f t="array" ref="O93">INDEX(М[Форма закупа],MATCH(1,IF(($B93=М[Наим.])*($C93=М[Артикул, марка, произв.])*($D93=М[Хар-ка])*($N93=М[Прим.]),{1},($B93=М[Наим.])*($C93=М[Артикул, марка, произв.])*($D93=М[Хар-ка])*($N93=М[Прим.])),0))</f>
        <v>Закупка подрядчик</v>
      </c>
    </row>
    <row r="94" spans="1:15" ht="22.95" customHeight="1" outlineLevel="4" x14ac:dyDescent="0.2">
      <c r="A94" s="23" t="s">
        <v>37</v>
      </c>
      <c r="B94" s="24" t="s">
        <v>45</v>
      </c>
      <c r="C94" s="25"/>
      <c r="D94" s="25" t="s">
        <v>65</v>
      </c>
      <c r="E94" s="26" t="s">
        <v>47</v>
      </c>
      <c r="F94" s="27"/>
      <c r="G94" s="30">
        <v>450</v>
      </c>
      <c r="H94" s="30">
        <v>370</v>
      </c>
      <c r="I94" s="30">
        <v>460</v>
      </c>
      <c r="J94" s="30">
        <v>350</v>
      </c>
      <c r="K94" s="34">
        <f>SUM($G$94:$J$94)</f>
        <v>1630</v>
      </c>
      <c r="L94" s="32">
        <f t="array" ref="L94">INDEX(М[Цена за ед., руб],MATCH(1,IF(($B94=М[Наим.])*($C94=М[Артикул, марка, произв.])*($D94=М[Хар-ка])*($N94=М[Прим.]),{1},($B94=М[Наим.])*($C94=М[Артикул, марка, произв.])*($D94=М[Хар-ка])*($N94=М[Прим.])),0))</f>
        <v>0</v>
      </c>
      <c r="M94" s="32">
        <f>ROUND($K$94*$L$94,2)</f>
        <v>0</v>
      </c>
      <c r="N94" s="25"/>
      <c r="O94" s="25" t="str">
        <f t="array" ref="O94">INDEX(М[Форма закупа],MATCH(1,IF(($B94=М[Наим.])*($C94=М[Артикул, марка, произв.])*($D94=М[Хар-ка])*($N94=М[Прим.]),{1},($B94=М[Наим.])*($C94=М[Артикул, марка, произв.])*($D94=М[Хар-ка])*($N94=М[Прим.])),0))</f>
        <v>Закупка подрядчик</v>
      </c>
    </row>
    <row r="95" spans="1:15" ht="10.95" customHeight="1" outlineLevel="4" x14ac:dyDescent="0.2">
      <c r="A95" s="23" t="s">
        <v>41</v>
      </c>
      <c r="B95" s="24" t="s">
        <v>49</v>
      </c>
      <c r="C95" s="25"/>
      <c r="D95" s="25" t="s">
        <v>50</v>
      </c>
      <c r="E95" s="26" t="s">
        <v>27</v>
      </c>
      <c r="F95" s="29">
        <v>1.4999999999999999E-2</v>
      </c>
      <c r="G95" s="28">
        <v>28.37</v>
      </c>
      <c r="H95" s="28">
        <v>23.22</v>
      </c>
      <c r="I95" s="28">
        <v>29.01</v>
      </c>
      <c r="J95" s="28">
        <v>22.64</v>
      </c>
      <c r="K95" s="28">
        <f>SUM($G$95:$J$95)</f>
        <v>103.24000000000001</v>
      </c>
      <c r="L95" s="32">
        <f t="array" ref="L95">INDEX(М[Цена за ед., руб],MATCH(1,IF(($B95=М[Наим.])*($C95=М[Артикул, марка, произв.])*($D95=М[Хар-ка])*($N95=М[Прим.]),{1},($B95=М[Наим.])*($C95=М[Артикул, марка, произв.])*($D95=М[Хар-ка])*($N95=М[Прим.])),0))</f>
        <v>0</v>
      </c>
      <c r="M95" s="32">
        <f>ROUND($K$95*$L$95,2)</f>
        <v>0</v>
      </c>
      <c r="N95" s="25"/>
      <c r="O95" s="25" t="str">
        <f t="array" ref="O95">INDEX(М[Форма закупа],MATCH(1,IF(($B95=М[Наим.])*($C95=М[Артикул, марка, произв.])*($D95=М[Хар-ка])*($N95=М[Прим.]),{1},($B95=М[Наим.])*($C95=М[Артикул, марка, произв.])*($D95=М[Хар-ка])*($N95=М[Прим.])),0))</f>
        <v>Закупка подрядчик</v>
      </c>
    </row>
    <row r="96" spans="1:15" ht="10.95" customHeight="1" outlineLevel="4" x14ac:dyDescent="0.2">
      <c r="A96" s="23" t="s">
        <v>44</v>
      </c>
      <c r="B96" s="24" t="s">
        <v>66</v>
      </c>
      <c r="C96" s="25"/>
      <c r="D96" s="25" t="s">
        <v>67</v>
      </c>
      <c r="E96" s="26" t="s">
        <v>27</v>
      </c>
      <c r="F96" s="29">
        <v>1.0149999999999999</v>
      </c>
      <c r="G96" s="28">
        <v>521.45000000000005</v>
      </c>
      <c r="H96" s="28">
        <v>426.64</v>
      </c>
      <c r="I96" s="31">
        <v>533.29999999999995</v>
      </c>
      <c r="J96" s="28">
        <v>416.53</v>
      </c>
      <c r="K96" s="32">
        <f>SUM($G$96:$J$96)</f>
        <v>1897.9199999999998</v>
      </c>
      <c r="L96" s="32">
        <f t="array" ref="L96">INDEX(М[Цена за ед., руб],MATCH(1,IF(($B96=М[Наим.])*($C96=М[Артикул, марка, произв.])*($D96=М[Хар-ка])*($N96=М[Прим.]),{1},($B96=М[Наим.])*($C96=М[Артикул, марка, произв.])*($D96=М[Хар-ка])*($N96=М[Прим.])),0))</f>
        <v>0</v>
      </c>
      <c r="M96" s="32">
        <f>ROUND($K$96*$L$96,2)</f>
        <v>0</v>
      </c>
      <c r="N96" s="25"/>
      <c r="O96" s="25" t="str">
        <f t="array" ref="O96">INDEX(М[Форма закупа],MATCH(1,IF(($B96=М[Наим.])*($C96=М[Артикул, марка, произв.])*($D96=М[Хар-ка])*($N96=М[Прим.]),{1},($B96=М[Наим.])*($C96=М[Артикул, марка, произв.])*($D96=М[Хар-ка])*($N96=М[Прим.])),0))</f>
        <v>Закупка подрядчик</v>
      </c>
    </row>
    <row r="97" spans="1:15" ht="10.95" customHeight="1" outlineLevel="4" x14ac:dyDescent="0.2">
      <c r="A97" s="23" t="s">
        <v>48</v>
      </c>
      <c r="B97" s="24" t="s">
        <v>66</v>
      </c>
      <c r="C97" s="25"/>
      <c r="D97" s="25" t="s">
        <v>85</v>
      </c>
      <c r="E97" s="26" t="s">
        <v>27</v>
      </c>
      <c r="F97" s="29">
        <v>1.0149999999999999</v>
      </c>
      <c r="G97" s="28">
        <v>635.02</v>
      </c>
      <c r="H97" s="28">
        <v>519.38</v>
      </c>
      <c r="I97" s="28">
        <v>649.16999999999996</v>
      </c>
      <c r="J97" s="28">
        <v>506.22</v>
      </c>
      <c r="K97" s="32">
        <f>SUM($G$97:$J$97)</f>
        <v>2309.79</v>
      </c>
      <c r="L97" s="32">
        <f t="array" ref="L97">INDEX(М[Цена за ед., руб],MATCH(1,IF(($B97=М[Наим.])*($C97=М[Артикул, марка, произв.])*($D97=М[Хар-ка])*($N97=М[Прим.]),{1},($B97=М[Наим.])*($C97=М[Артикул, марка, произв.])*($D97=М[Хар-ка])*($N97=М[Прим.])),0))</f>
        <v>0</v>
      </c>
      <c r="M97" s="32">
        <f>ROUND($K$97*$L$97,2)</f>
        <v>0</v>
      </c>
      <c r="N97" s="25"/>
      <c r="O97" s="25" t="str">
        <f t="array" ref="O97">INDEX(М[Форма закупа],MATCH(1,IF(($B97=М[Наим.])*($C97=М[Артикул, марка, произв.])*($D97=М[Хар-ка])*($N97=М[Прим.]),{1},($B97=М[Наим.])*($C97=М[Артикул, марка, произв.])*($D97=М[Хар-ка])*($N97=М[Прим.])),0))</f>
        <v>Закупка подрядчик</v>
      </c>
    </row>
    <row r="98" spans="1:15" ht="10.95" customHeight="1" outlineLevel="4" x14ac:dyDescent="0.2">
      <c r="A98" s="23" t="s">
        <v>51</v>
      </c>
      <c r="B98" s="24" t="s">
        <v>66</v>
      </c>
      <c r="C98" s="25"/>
      <c r="D98" s="25" t="s">
        <v>68</v>
      </c>
      <c r="E98" s="26" t="s">
        <v>27</v>
      </c>
      <c r="F98" s="29">
        <v>1.0149999999999999</v>
      </c>
      <c r="G98" s="31">
        <v>508.9</v>
      </c>
      <c r="H98" s="28">
        <v>416.37</v>
      </c>
      <c r="I98" s="28">
        <v>520.47</v>
      </c>
      <c r="J98" s="28">
        <v>408.63</v>
      </c>
      <c r="K98" s="32">
        <f>SUM($G$98:$J$98)</f>
        <v>1854.37</v>
      </c>
      <c r="L98" s="32">
        <f t="array" ref="L98">INDEX(М[Цена за ед., руб],MATCH(1,IF(($B98=М[Наим.])*($C98=М[Артикул, марка, произв.])*($D98=М[Хар-ка])*($N98=М[Прим.]),{1},($B98=М[Наим.])*($C98=М[Артикул, марка, произв.])*($D98=М[Хар-ка])*($N98=М[Прим.])),0))</f>
        <v>0</v>
      </c>
      <c r="M98" s="32">
        <f>ROUND($K$98*$L$98,2)</f>
        <v>0</v>
      </c>
      <c r="N98" s="25"/>
      <c r="O98" s="25" t="str">
        <f t="array" ref="O98">INDEX(М[Форма закупа],MATCH(1,IF(($B98=М[Наим.])*($C98=М[Артикул, марка, произв.])*($D98=М[Хар-ка])*($N98=М[Прим.]),{1},($B98=М[Наим.])*($C98=М[Артикул, марка, произв.])*($D98=М[Хар-ка])*($N98=М[Прим.])),0))</f>
        <v>Закупка подрядчик</v>
      </c>
    </row>
    <row r="99" spans="1:15" ht="10.95" customHeight="1" outlineLevel="4" x14ac:dyDescent="0.2">
      <c r="A99" s="23" t="s">
        <v>69</v>
      </c>
      <c r="B99" s="24" t="s">
        <v>66</v>
      </c>
      <c r="C99" s="25"/>
      <c r="D99" s="25" t="s">
        <v>70</v>
      </c>
      <c r="E99" s="26" t="s">
        <v>27</v>
      </c>
      <c r="F99" s="29">
        <v>1.0149999999999999</v>
      </c>
      <c r="G99" s="28">
        <v>250.54</v>
      </c>
      <c r="H99" s="28">
        <v>204.99</v>
      </c>
      <c r="I99" s="28">
        <v>256.24</v>
      </c>
      <c r="J99" s="28">
        <v>200.38</v>
      </c>
      <c r="K99" s="28">
        <f>SUM($G$99:$J$99)</f>
        <v>912.15</v>
      </c>
      <c r="L99" s="32">
        <f t="array" ref="L99">INDEX(М[Цена за ед., руб],MATCH(1,IF(($B99=М[Наим.])*($C99=М[Артикул, марка, произв.])*($D99=М[Хар-ка])*($N99=М[Прим.]),{1},($B99=М[Наим.])*($C99=М[Артикул, марка, произв.])*($D99=М[Хар-ка])*($N99=М[Прим.])),0))</f>
        <v>0</v>
      </c>
      <c r="M99" s="32">
        <f>ROUND($K$99*$L$99,2)</f>
        <v>0</v>
      </c>
      <c r="N99" s="25"/>
      <c r="O99" s="25" t="str">
        <f t="array" ref="O99">INDEX(М[Форма закупа],MATCH(1,IF(($B99=М[Наим.])*($C99=М[Артикул, марка, произв.])*($D99=М[Хар-ка])*($N99=М[Прим.]),{1},($B99=М[Наим.])*($C99=М[Артикул, марка, произв.])*($D99=М[Хар-ка])*($N99=М[Прим.])),0))</f>
        <v>Закупка подрядчик</v>
      </c>
    </row>
    <row r="100" spans="1:15" ht="10.95" customHeight="1" outlineLevel="4" x14ac:dyDescent="0.2">
      <c r="A100" s="23" t="s">
        <v>71</v>
      </c>
      <c r="B100" s="24" t="s">
        <v>57</v>
      </c>
      <c r="C100" s="25"/>
      <c r="D100" s="25" t="s">
        <v>75</v>
      </c>
      <c r="E100" s="26" t="s">
        <v>27</v>
      </c>
      <c r="F100" s="29">
        <v>1.0149999999999999</v>
      </c>
      <c r="G100" s="28">
        <v>4.04</v>
      </c>
      <c r="H100" s="28">
        <v>4.04</v>
      </c>
      <c r="I100" s="28">
        <v>4.04</v>
      </c>
      <c r="J100" s="27"/>
      <c r="K100" s="28">
        <f>SUM($G$100:$J$100)</f>
        <v>12.120000000000001</v>
      </c>
      <c r="L100" s="32">
        <f t="array" ref="L100">INDEX(М[Цена за ед., руб],MATCH(1,IF(($B100=М[Наим.])*($C100=М[Артикул, марка, произв.])*($D100=М[Хар-ка])*($N100=М[Прим.]),{1},($B100=М[Наим.])*($C100=М[Артикул, марка, произв.])*($D100=М[Хар-ка])*($N100=М[Прим.])),0))</f>
        <v>0</v>
      </c>
      <c r="M100" s="32">
        <f>ROUND($K$100*$L$100,2)</f>
        <v>0</v>
      </c>
      <c r="N100" s="25" t="s">
        <v>99</v>
      </c>
      <c r="O100" s="25" t="str">
        <f t="array" ref="O100">INDEX(М[Форма закупа],MATCH(1,IF(($B100=М[Наим.])*($C100=М[Артикул, марка, произв.])*($D100=М[Хар-ка])*($N100=М[Прим.]),{1},($B100=М[Наим.])*($C100=М[Артикул, марка, произв.])*($D100=М[Хар-ка])*($N100=М[Прим.])),0))</f>
        <v>Закупка подрядчик</v>
      </c>
    </row>
    <row r="101" spans="1:15" ht="10.95" customHeight="1" outlineLevel="4" x14ac:dyDescent="0.2">
      <c r="A101" s="20"/>
      <c r="B101" s="14" t="s">
        <v>25</v>
      </c>
      <c r="C101" s="21"/>
      <c r="D101" s="21"/>
      <c r="E101" s="21"/>
      <c r="F101" s="21"/>
      <c r="G101" s="21"/>
      <c r="H101" s="21"/>
      <c r="I101" s="21"/>
      <c r="J101" s="21"/>
      <c r="K101" s="21"/>
      <c r="L101" s="85"/>
      <c r="M101" s="86">
        <f>SUM($M$102)</f>
        <v>0</v>
      </c>
      <c r="N101" s="18"/>
      <c r="O101" s="22"/>
    </row>
    <row r="102" spans="1:15" ht="22.95" customHeight="1" outlineLevel="4" x14ac:dyDescent="0.2">
      <c r="A102" s="23"/>
      <c r="B102" s="24" t="s">
        <v>100</v>
      </c>
      <c r="C102" s="25"/>
      <c r="D102" s="25"/>
      <c r="E102" s="26" t="s">
        <v>27</v>
      </c>
      <c r="F102" s="27"/>
      <c r="G102" s="27"/>
      <c r="H102" s="27"/>
      <c r="I102" s="27"/>
      <c r="J102" s="31">
        <v>60.7</v>
      </c>
      <c r="K102" s="31">
        <f>SUM($G$102:$J$102)</f>
        <v>60.7</v>
      </c>
      <c r="L102" s="32">
        <f t="array" ref="L102">INDEX(Р[Цена за ед., руб],MATCH(1,IF(($B102=Р[Наименование])*($N102=Р[Примечание]),{1},($B102=Р[Наименование])*($N102=Р[Примечание])),0))</f>
        <v>0</v>
      </c>
      <c r="M102" s="32">
        <f>ROUND($K$102*$L$102,2)</f>
        <v>0</v>
      </c>
      <c r="N102" s="25" t="s">
        <v>101</v>
      </c>
      <c r="O102" s="25"/>
    </row>
    <row r="103" spans="1:15" ht="10.95" customHeight="1" outlineLevel="4" x14ac:dyDescent="0.2">
      <c r="A103" s="20"/>
      <c r="B103" s="14" t="s">
        <v>29</v>
      </c>
      <c r="C103" s="21"/>
      <c r="D103" s="21"/>
      <c r="E103" s="21"/>
      <c r="F103" s="21"/>
      <c r="G103" s="21"/>
      <c r="H103" s="21"/>
      <c r="I103" s="21"/>
      <c r="J103" s="21"/>
      <c r="K103" s="21"/>
      <c r="L103" s="85"/>
      <c r="M103" s="86">
        <f>SUM($M$104:$M$112)</f>
        <v>0</v>
      </c>
      <c r="N103" s="18"/>
      <c r="O103" s="22"/>
    </row>
    <row r="104" spans="1:15" ht="46.95" customHeight="1" outlineLevel="4" x14ac:dyDescent="0.2">
      <c r="A104" s="23" t="s">
        <v>30</v>
      </c>
      <c r="B104" s="24" t="s">
        <v>38</v>
      </c>
      <c r="C104" s="25"/>
      <c r="D104" s="25" t="s">
        <v>39</v>
      </c>
      <c r="E104" s="26" t="s">
        <v>40</v>
      </c>
      <c r="F104" s="29">
        <v>0.14000000000000001</v>
      </c>
      <c r="G104" s="27"/>
      <c r="H104" s="27"/>
      <c r="I104" s="27"/>
      <c r="J104" s="28">
        <v>0.59</v>
      </c>
      <c r="K104" s="28">
        <f>SUM($G$104:$J$104)</f>
        <v>0.59</v>
      </c>
      <c r="L104" s="32">
        <f t="array" ref="L104">INDEX(М[Цена за ед., руб],MATCH(1,IF(($B104=М[Наим.])*($C104=М[Артикул, марка, произв.])*($D104=М[Хар-ка])*($N104=М[Прим.]),{1},($B104=М[Наим.])*($C104=М[Артикул, марка, произв.])*($D104=М[Хар-ка])*($N104=М[Прим.])),0))</f>
        <v>0</v>
      </c>
      <c r="M104" s="32">
        <f>ROUND($K$104*$L$104,2)</f>
        <v>0</v>
      </c>
      <c r="N104" s="25"/>
      <c r="O104" s="25" t="str">
        <f t="array" ref="O104">INDEX(М[Форма закупа],MATCH(1,IF(($B104=М[Наим.])*($C104=М[Артикул, марка, произв.])*($D104=М[Хар-ка])*($N104=М[Прим.]),{1},($B104=М[Наим.])*($C104=М[Артикул, марка, произв.])*($D104=М[Хар-ка])*($N104=М[Прим.])),0))</f>
        <v>Закупка подрядчик</v>
      </c>
    </row>
    <row r="105" spans="1:15" ht="10.95" customHeight="1" outlineLevel="4" x14ac:dyDescent="0.2">
      <c r="A105" s="23" t="s">
        <v>34</v>
      </c>
      <c r="B105" s="24" t="s">
        <v>42</v>
      </c>
      <c r="C105" s="25"/>
      <c r="D105" s="25" t="s">
        <v>43</v>
      </c>
      <c r="E105" s="26" t="s">
        <v>27</v>
      </c>
      <c r="F105" s="29">
        <v>7.6999999999999999E-2</v>
      </c>
      <c r="G105" s="27"/>
      <c r="H105" s="27"/>
      <c r="I105" s="27"/>
      <c r="J105" s="28">
        <v>0.32</v>
      </c>
      <c r="K105" s="28">
        <f>SUM($G$105:$J$105)</f>
        <v>0.32</v>
      </c>
      <c r="L105" s="32">
        <f t="array" ref="L105">INDEX(М[Цена за ед., руб],MATCH(1,IF(($B105=М[Наим.])*($C105=М[Артикул, марка, произв.])*($D105=М[Хар-ка])*($N105=М[Прим.]),{1},($B105=М[Наим.])*($C105=М[Артикул, марка, произв.])*($D105=М[Хар-ка])*($N105=М[Прим.])),0))</f>
        <v>0</v>
      </c>
      <c r="M105" s="32">
        <f>ROUND($K$105*$L$105,2)</f>
        <v>0</v>
      </c>
      <c r="N105" s="25"/>
      <c r="O105" s="25" t="str">
        <f t="array" ref="O105">INDEX(М[Форма закупа],MATCH(1,IF(($B105=М[Наим.])*($C105=М[Артикул, марка, произв.])*($D105=М[Хар-ка])*($N105=М[Прим.]),{1},($B105=М[Наим.])*($C105=М[Артикул, марка, произв.])*($D105=М[Хар-ка])*($N105=М[Прим.])),0))</f>
        <v>Закупка подрядчик</v>
      </c>
    </row>
    <row r="106" spans="1:15" ht="22.95" customHeight="1" outlineLevel="4" x14ac:dyDescent="0.2">
      <c r="A106" s="23" t="s">
        <v>37</v>
      </c>
      <c r="B106" s="24" t="s">
        <v>45</v>
      </c>
      <c r="C106" s="25"/>
      <c r="D106" s="25" t="s">
        <v>65</v>
      </c>
      <c r="E106" s="26" t="s">
        <v>47</v>
      </c>
      <c r="F106" s="27"/>
      <c r="G106" s="27"/>
      <c r="H106" s="27"/>
      <c r="I106" s="27"/>
      <c r="J106" s="30">
        <v>28</v>
      </c>
      <c r="K106" s="30">
        <f>SUM($G$106:$J$106)</f>
        <v>28</v>
      </c>
      <c r="L106" s="32">
        <f t="array" ref="L106">INDEX(М[Цена за ед., руб],MATCH(1,IF(($B106=М[Наим.])*($C106=М[Артикул, марка, произв.])*($D106=М[Хар-ка])*($N106=М[Прим.]),{1},($B106=М[Наим.])*($C106=М[Артикул, марка, произв.])*($D106=М[Хар-ка])*($N106=М[Прим.])),0))</f>
        <v>0</v>
      </c>
      <c r="M106" s="32">
        <f>ROUND($K$106*$L$106,2)</f>
        <v>0</v>
      </c>
      <c r="N106" s="25"/>
      <c r="O106" s="25" t="str">
        <f t="array" ref="O106">INDEX(М[Форма закупа],MATCH(1,IF(($B106=М[Наим.])*($C106=М[Артикул, марка, произв.])*($D106=М[Хар-ка])*($N106=М[Прим.]),{1},($B106=М[Наим.])*($C106=М[Артикул, марка, произв.])*($D106=М[Хар-ка])*($N106=М[Прим.])),0))</f>
        <v>Закупка подрядчик</v>
      </c>
    </row>
    <row r="107" spans="1:15" ht="10.95" customHeight="1" outlineLevel="4" x14ac:dyDescent="0.2">
      <c r="A107" s="23" t="s">
        <v>41</v>
      </c>
      <c r="B107" s="24" t="s">
        <v>49</v>
      </c>
      <c r="C107" s="25"/>
      <c r="D107" s="25" t="s">
        <v>50</v>
      </c>
      <c r="E107" s="26" t="s">
        <v>27</v>
      </c>
      <c r="F107" s="29">
        <v>1.4999999999999999E-2</v>
      </c>
      <c r="G107" s="27"/>
      <c r="H107" s="27"/>
      <c r="I107" s="27"/>
      <c r="J107" s="28">
        <v>0.91</v>
      </c>
      <c r="K107" s="28">
        <f>SUM($G$107:$J$107)</f>
        <v>0.91</v>
      </c>
      <c r="L107" s="32">
        <f t="array" ref="L107">INDEX(М[Цена за ед., руб],MATCH(1,IF(($B107=М[Наим.])*($C107=М[Артикул, марка, произв.])*($D107=М[Хар-ка])*($N107=М[Прим.]),{1},($B107=М[Наим.])*($C107=М[Артикул, марка, произв.])*($D107=М[Хар-ка])*($N107=М[Прим.])),0))</f>
        <v>0</v>
      </c>
      <c r="M107" s="32">
        <f>ROUND($K$107*$L$107,2)</f>
        <v>0</v>
      </c>
      <c r="N107" s="25"/>
      <c r="O107" s="25" t="str">
        <f t="array" ref="O107">INDEX(М[Форма закупа],MATCH(1,IF(($B107=М[Наим.])*($C107=М[Артикул, марка, произв.])*($D107=М[Хар-ка])*($N107=М[Прим.]),{1},($B107=М[Наим.])*($C107=М[Артикул, марка, произв.])*($D107=М[Хар-ка])*($N107=М[Прим.])),0))</f>
        <v>Закупка подрядчик</v>
      </c>
    </row>
    <row r="108" spans="1:15" ht="10.95" customHeight="1" outlineLevel="4" x14ac:dyDescent="0.2">
      <c r="A108" s="23" t="s">
        <v>44</v>
      </c>
      <c r="B108" s="24" t="s">
        <v>66</v>
      </c>
      <c r="C108" s="25"/>
      <c r="D108" s="25" t="s">
        <v>67</v>
      </c>
      <c r="E108" s="26" t="s">
        <v>27</v>
      </c>
      <c r="F108" s="29">
        <v>1.0149999999999999</v>
      </c>
      <c r="G108" s="27"/>
      <c r="H108" s="27"/>
      <c r="I108" s="27"/>
      <c r="J108" s="28">
        <v>14.67</v>
      </c>
      <c r="K108" s="28">
        <f>SUM($G$108:$J$108)</f>
        <v>14.67</v>
      </c>
      <c r="L108" s="32">
        <f t="array" ref="L108">INDEX(М[Цена за ед., руб],MATCH(1,IF(($B108=М[Наим.])*($C108=М[Артикул, марка, произв.])*($D108=М[Хар-ка])*($N108=М[Прим.]),{1},($B108=М[Наим.])*($C108=М[Артикул, марка, произв.])*($D108=М[Хар-ка])*($N108=М[Прим.])),0))</f>
        <v>0</v>
      </c>
      <c r="M108" s="32">
        <f>ROUND($K$108*$L$108,2)</f>
        <v>0</v>
      </c>
      <c r="N108" s="25"/>
      <c r="O108" s="25" t="str">
        <f t="array" ref="O108">INDEX(М[Форма закупа],MATCH(1,IF(($B108=М[Наим.])*($C108=М[Артикул, марка, произв.])*($D108=М[Хар-ка])*($N108=М[Прим.]),{1},($B108=М[Наим.])*($C108=М[Артикул, марка, произв.])*($D108=М[Хар-ка])*($N108=М[Прим.])),0))</f>
        <v>Закупка подрядчик</v>
      </c>
    </row>
    <row r="109" spans="1:15" ht="10.95" customHeight="1" outlineLevel="4" x14ac:dyDescent="0.2">
      <c r="A109" s="23" t="s">
        <v>48</v>
      </c>
      <c r="B109" s="24" t="s">
        <v>66</v>
      </c>
      <c r="C109" s="25"/>
      <c r="D109" s="25" t="s">
        <v>85</v>
      </c>
      <c r="E109" s="26" t="s">
        <v>27</v>
      </c>
      <c r="F109" s="29">
        <v>1.0149999999999999</v>
      </c>
      <c r="G109" s="27"/>
      <c r="H109" s="27"/>
      <c r="I109" s="27"/>
      <c r="J109" s="28">
        <v>18.45</v>
      </c>
      <c r="K109" s="28">
        <f>SUM($G$109:$J$109)</f>
        <v>18.45</v>
      </c>
      <c r="L109" s="32">
        <f t="array" ref="L109">INDEX(М[Цена за ед., руб],MATCH(1,IF(($B109=М[Наим.])*($C109=М[Артикул, марка, произв.])*($D109=М[Хар-ка])*($N109=М[Прим.]),{1},($B109=М[Наим.])*($C109=М[Артикул, марка, произв.])*($D109=М[Хар-ка])*($N109=М[Прим.])),0))</f>
        <v>0</v>
      </c>
      <c r="M109" s="32">
        <f>ROUND($K$109*$L$109,2)</f>
        <v>0</v>
      </c>
      <c r="N109" s="25"/>
      <c r="O109" s="25" t="str">
        <f t="array" ref="O109">INDEX(М[Форма закупа],MATCH(1,IF(($B109=М[Наим.])*($C109=М[Артикул, марка, произв.])*($D109=М[Хар-ка])*($N109=М[Прим.]),{1},($B109=М[Наим.])*($C109=М[Артикул, марка, произв.])*($D109=М[Хар-ка])*($N109=М[Прим.])),0))</f>
        <v>Закупка подрядчик</v>
      </c>
    </row>
    <row r="110" spans="1:15" ht="10.95" customHeight="1" outlineLevel="4" x14ac:dyDescent="0.2">
      <c r="A110" s="23" t="s">
        <v>51</v>
      </c>
      <c r="B110" s="24" t="s">
        <v>66</v>
      </c>
      <c r="C110" s="25"/>
      <c r="D110" s="25" t="s">
        <v>68</v>
      </c>
      <c r="E110" s="26" t="s">
        <v>27</v>
      </c>
      <c r="F110" s="29">
        <v>1.0149999999999999</v>
      </c>
      <c r="G110" s="27"/>
      <c r="H110" s="27"/>
      <c r="I110" s="27"/>
      <c r="J110" s="28">
        <v>15.41</v>
      </c>
      <c r="K110" s="28">
        <f>SUM($G$110:$J$110)</f>
        <v>15.41</v>
      </c>
      <c r="L110" s="32">
        <f t="array" ref="L110">INDEX(М[Цена за ед., руб],MATCH(1,IF(($B110=М[Наим.])*($C110=М[Артикул, марка, произв.])*($D110=М[Хар-ка])*($N110=М[Прим.]),{1},($B110=М[Наим.])*($C110=М[Артикул, марка, произв.])*($D110=М[Хар-ка])*($N110=М[Прим.])),0))</f>
        <v>0</v>
      </c>
      <c r="M110" s="32">
        <f>ROUND($K$110*$L$110,2)</f>
        <v>0</v>
      </c>
      <c r="N110" s="25"/>
      <c r="O110" s="25" t="str">
        <f t="array" ref="O110">INDEX(М[Форма закупа],MATCH(1,IF(($B110=М[Наим.])*($C110=М[Артикул, марка, произв.])*($D110=М[Хар-ка])*($N110=М[Прим.]),{1},($B110=М[Наим.])*($C110=М[Артикул, марка, произв.])*($D110=М[Хар-ка])*($N110=М[Прим.])),0))</f>
        <v>Закупка подрядчик</v>
      </c>
    </row>
    <row r="111" spans="1:15" ht="10.95" customHeight="1" outlineLevel="4" x14ac:dyDescent="0.2">
      <c r="A111" s="23" t="s">
        <v>69</v>
      </c>
      <c r="B111" s="24" t="s">
        <v>66</v>
      </c>
      <c r="C111" s="25"/>
      <c r="D111" s="25" t="s">
        <v>70</v>
      </c>
      <c r="E111" s="26" t="s">
        <v>27</v>
      </c>
      <c r="F111" s="29">
        <v>1.0149999999999999</v>
      </c>
      <c r="G111" s="27"/>
      <c r="H111" s="27"/>
      <c r="I111" s="27"/>
      <c r="J111" s="28">
        <v>7.42</v>
      </c>
      <c r="K111" s="28">
        <f>SUM($G$111:$J$111)</f>
        <v>7.42</v>
      </c>
      <c r="L111" s="32">
        <f t="array" ref="L111">INDEX(М[Цена за ед., руб],MATCH(1,IF(($B111=М[Наим.])*($C111=М[Артикул, марка, произв.])*($D111=М[Хар-ка])*($N111=М[Прим.]),{1},($B111=М[Наим.])*($C111=М[Артикул, марка, произв.])*($D111=М[Хар-ка])*($N111=М[Прим.])),0))</f>
        <v>0</v>
      </c>
      <c r="M111" s="32">
        <f>ROUND($K$111*$L$111,2)</f>
        <v>0</v>
      </c>
      <c r="N111" s="25"/>
      <c r="O111" s="25" t="str">
        <f t="array" ref="O111">INDEX(М[Форма закупа],MATCH(1,IF(($B111=М[Наим.])*($C111=М[Артикул, марка, произв.])*($D111=М[Хар-ка])*($N111=М[Прим.]),{1},($B111=М[Наим.])*($C111=М[Артикул, марка, произв.])*($D111=М[Хар-ка])*($N111=М[Прим.])),0))</f>
        <v>Закупка подрядчик</v>
      </c>
    </row>
    <row r="112" spans="1:15" ht="10.95" customHeight="1" outlineLevel="4" x14ac:dyDescent="0.2">
      <c r="A112" s="23" t="s">
        <v>71</v>
      </c>
      <c r="B112" s="24" t="s">
        <v>57</v>
      </c>
      <c r="C112" s="25"/>
      <c r="D112" s="25" t="s">
        <v>75</v>
      </c>
      <c r="E112" s="26" t="s">
        <v>27</v>
      </c>
      <c r="F112" s="29">
        <v>1.0149999999999999</v>
      </c>
      <c r="G112" s="27"/>
      <c r="H112" s="27"/>
      <c r="I112" s="27"/>
      <c r="J112" s="28">
        <v>5.66</v>
      </c>
      <c r="K112" s="28">
        <f>SUM($G$112:$J$112)</f>
        <v>5.66</v>
      </c>
      <c r="L112" s="32">
        <f t="array" ref="L112">INDEX(М[Цена за ед., руб],MATCH(1,IF(($B112=М[Наим.])*($C112=М[Артикул, марка, произв.])*($D112=М[Хар-ка])*($N112=М[Прим.]),{1},($B112=М[Наим.])*($C112=М[Артикул, марка, произв.])*($D112=М[Хар-ка])*($N112=М[Прим.])),0))</f>
        <v>0</v>
      </c>
      <c r="M112" s="32">
        <f>ROUND($K$112*$L$112,2)</f>
        <v>0</v>
      </c>
      <c r="N112" s="25" t="s">
        <v>102</v>
      </c>
      <c r="O112" s="25" t="str">
        <f t="array" ref="O112">INDEX(М[Форма закупа],MATCH(1,IF(($B112=М[Наим.])*($C112=М[Артикул, марка, произв.])*($D112=М[Хар-ка])*($N112=М[Прим.]),{1},($B112=М[Наим.])*($C112=М[Артикул, марка, произв.])*($D112=М[Хар-ка])*($N112=М[Прим.])),0))</f>
        <v>Закупка подрядчик</v>
      </c>
    </row>
    <row r="113" spans="1:15" ht="10.95" customHeight="1" outlineLevel="4" x14ac:dyDescent="0.2">
      <c r="A113" s="20"/>
      <c r="B113" s="14" t="s">
        <v>25</v>
      </c>
      <c r="C113" s="21"/>
      <c r="D113" s="21"/>
      <c r="E113" s="21"/>
      <c r="F113" s="21"/>
      <c r="G113" s="21"/>
      <c r="H113" s="21"/>
      <c r="I113" s="21"/>
      <c r="J113" s="21"/>
      <c r="K113" s="21"/>
      <c r="L113" s="85"/>
      <c r="M113" s="86">
        <f>SUM($M$114)</f>
        <v>0</v>
      </c>
      <c r="N113" s="18"/>
      <c r="O113" s="22"/>
    </row>
    <row r="114" spans="1:15" ht="22.95" customHeight="1" outlineLevel="4" x14ac:dyDescent="0.2">
      <c r="A114" s="23"/>
      <c r="B114" s="24" t="s">
        <v>103</v>
      </c>
      <c r="C114" s="25"/>
      <c r="D114" s="25"/>
      <c r="E114" s="26" t="s">
        <v>27</v>
      </c>
      <c r="F114" s="27"/>
      <c r="G114" s="32">
        <v>1752.06</v>
      </c>
      <c r="H114" s="27"/>
      <c r="I114" s="27"/>
      <c r="J114" s="27"/>
      <c r="K114" s="32">
        <f>SUM($G$114:$J$114)</f>
        <v>1752.06</v>
      </c>
      <c r="L114" s="32">
        <f t="array" ref="L114">INDEX(Р[Цена за ед., руб],MATCH(1,IF(($B114=Р[Наименование])*($N114=Р[Примечание]),{1},($B114=Р[Наименование])*($N114=Р[Примечание])),0))</f>
        <v>0</v>
      </c>
      <c r="M114" s="32">
        <f>ROUND($K$114*$L$114,2)</f>
        <v>0</v>
      </c>
      <c r="N114" s="25" t="s">
        <v>104</v>
      </c>
      <c r="O114" s="25"/>
    </row>
    <row r="115" spans="1:15" ht="10.95" customHeight="1" outlineLevel="4" x14ac:dyDescent="0.2">
      <c r="A115" s="20"/>
      <c r="B115" s="14" t="s">
        <v>29</v>
      </c>
      <c r="C115" s="21"/>
      <c r="D115" s="21"/>
      <c r="E115" s="21"/>
      <c r="F115" s="21"/>
      <c r="G115" s="21"/>
      <c r="H115" s="21"/>
      <c r="I115" s="21"/>
      <c r="J115" s="21"/>
      <c r="K115" s="21"/>
      <c r="L115" s="85"/>
      <c r="M115" s="86">
        <f>SUM($M$116:$M$122)</f>
        <v>0</v>
      </c>
      <c r="N115" s="18"/>
      <c r="O115" s="22"/>
    </row>
    <row r="116" spans="1:15" ht="46.95" customHeight="1" outlineLevel="4" x14ac:dyDescent="0.2">
      <c r="A116" s="23" t="s">
        <v>30</v>
      </c>
      <c r="B116" s="24" t="s">
        <v>38</v>
      </c>
      <c r="C116" s="25"/>
      <c r="D116" s="25" t="s">
        <v>39</v>
      </c>
      <c r="E116" s="26" t="s">
        <v>40</v>
      </c>
      <c r="F116" s="29">
        <v>0.14000000000000001</v>
      </c>
      <c r="G116" s="28">
        <v>13.87</v>
      </c>
      <c r="H116" s="27"/>
      <c r="I116" s="27"/>
      <c r="J116" s="27"/>
      <c r="K116" s="28">
        <f>SUM($G$116:$J$116)</f>
        <v>13.87</v>
      </c>
      <c r="L116" s="32">
        <f t="array" ref="L116">INDEX(М[Цена за ед., руб],MATCH(1,IF(($B116=М[Наим.])*($C116=М[Артикул, марка, произв.])*($D116=М[Хар-ка])*($N116=М[Прим.]),{1},($B116=М[Наим.])*($C116=М[Артикул, марка, произв.])*($D116=М[Хар-ка])*($N116=М[Прим.])),0))</f>
        <v>0</v>
      </c>
      <c r="M116" s="32">
        <f>ROUND($K$116*$L$116,2)</f>
        <v>0</v>
      </c>
      <c r="N116" s="25"/>
      <c r="O116" s="25" t="str">
        <f t="array" ref="O116">INDEX(М[Форма закупа],MATCH(1,IF(($B116=М[Наим.])*($C116=М[Артикул, марка, произв.])*($D116=М[Хар-ка])*($N116=М[Прим.]),{1},($B116=М[Наим.])*($C116=М[Артикул, марка, произв.])*($D116=М[Хар-ка])*($N116=М[Прим.])),0))</f>
        <v>Закупка подрядчик</v>
      </c>
    </row>
    <row r="117" spans="1:15" ht="10.95" customHeight="1" outlineLevel="4" x14ac:dyDescent="0.2">
      <c r="A117" s="23" t="s">
        <v>34</v>
      </c>
      <c r="B117" s="24" t="s">
        <v>42</v>
      </c>
      <c r="C117" s="25"/>
      <c r="D117" s="25" t="s">
        <v>43</v>
      </c>
      <c r="E117" s="26" t="s">
        <v>27</v>
      </c>
      <c r="F117" s="29">
        <v>7.6999999999999999E-2</v>
      </c>
      <c r="G117" s="28">
        <v>7.63</v>
      </c>
      <c r="H117" s="27"/>
      <c r="I117" s="27"/>
      <c r="J117" s="27"/>
      <c r="K117" s="28">
        <f>SUM($G$117:$J$117)</f>
        <v>7.63</v>
      </c>
      <c r="L117" s="32">
        <f t="array" ref="L117">INDEX(М[Цена за ед., руб],MATCH(1,IF(($B117=М[Наим.])*($C117=М[Артикул, марка, произв.])*($D117=М[Хар-ка])*($N117=М[Прим.]),{1},($B117=М[Наим.])*($C117=М[Артикул, марка, произв.])*($D117=М[Хар-ка])*($N117=М[Прим.])),0))</f>
        <v>0</v>
      </c>
      <c r="M117" s="32">
        <f>ROUND($K$117*$L$117,2)</f>
        <v>0</v>
      </c>
      <c r="N117" s="25"/>
      <c r="O117" s="25" t="str">
        <f t="array" ref="O117">INDEX(М[Форма закупа],MATCH(1,IF(($B117=М[Наим.])*($C117=М[Артикул, марка, произв.])*($D117=М[Хар-ка])*($N117=М[Прим.]),{1},($B117=М[Наим.])*($C117=М[Артикул, марка, произв.])*($D117=М[Хар-ка])*($N117=М[Прим.])),0))</f>
        <v>Закупка подрядчик</v>
      </c>
    </row>
    <row r="118" spans="1:15" ht="22.95" customHeight="1" outlineLevel="4" x14ac:dyDescent="0.2">
      <c r="A118" s="23" t="s">
        <v>37</v>
      </c>
      <c r="B118" s="24" t="s">
        <v>45</v>
      </c>
      <c r="C118" s="25"/>
      <c r="D118" s="25" t="s">
        <v>105</v>
      </c>
      <c r="E118" s="26" t="s">
        <v>47</v>
      </c>
      <c r="F118" s="27"/>
      <c r="G118" s="30">
        <v>264</v>
      </c>
      <c r="H118" s="27"/>
      <c r="I118" s="27"/>
      <c r="J118" s="27"/>
      <c r="K118" s="30">
        <f>SUM($G$118:$J$118)</f>
        <v>264</v>
      </c>
      <c r="L118" s="32">
        <f t="array" ref="L118">INDEX(М[Цена за ед., руб],MATCH(1,IF(($B118=М[Наим.])*($C118=М[Артикул, марка, произв.])*($D118=М[Хар-ка])*($N118=М[Прим.]),{1},($B118=М[Наим.])*($C118=М[Артикул, марка, произв.])*($D118=М[Хар-ка])*($N118=М[Прим.])),0))</f>
        <v>0</v>
      </c>
      <c r="M118" s="32">
        <f>ROUND($K$118*$L$118,2)</f>
        <v>0</v>
      </c>
      <c r="N118" s="25"/>
      <c r="O118" s="25" t="str">
        <f t="array" ref="O118">INDEX(М[Форма закупа],MATCH(1,IF(($B118=М[Наим.])*($C118=М[Артикул, марка, произв.])*($D118=М[Хар-ка])*($N118=М[Прим.]),{1},($B118=М[Наим.])*($C118=М[Артикул, марка, произв.])*($D118=М[Хар-ка])*($N118=М[Прим.])),0))</f>
        <v>Закупка подрядчик</v>
      </c>
    </row>
    <row r="119" spans="1:15" ht="10.95" customHeight="1" outlineLevel="4" x14ac:dyDescent="0.2">
      <c r="A119" s="23" t="s">
        <v>41</v>
      </c>
      <c r="B119" s="24" t="s">
        <v>49</v>
      </c>
      <c r="C119" s="25"/>
      <c r="D119" s="25" t="s">
        <v>50</v>
      </c>
      <c r="E119" s="26" t="s">
        <v>27</v>
      </c>
      <c r="F119" s="29">
        <v>1.4999999999999999E-2</v>
      </c>
      <c r="G119" s="28">
        <v>26.28</v>
      </c>
      <c r="H119" s="27"/>
      <c r="I119" s="27"/>
      <c r="J119" s="27"/>
      <c r="K119" s="28">
        <f>SUM($G$119:$J$119)</f>
        <v>26.28</v>
      </c>
      <c r="L119" s="32">
        <f t="array" ref="L119">INDEX(М[Цена за ед., руб],MATCH(1,IF(($B119=М[Наим.])*($C119=М[Артикул, марка, произв.])*($D119=М[Хар-ка])*($N119=М[Прим.]),{1},($B119=М[Наим.])*($C119=М[Артикул, марка, произв.])*($D119=М[Хар-ка])*($N119=М[Прим.])),0))</f>
        <v>0</v>
      </c>
      <c r="M119" s="32">
        <f>ROUND($K$119*$L$119,2)</f>
        <v>0</v>
      </c>
      <c r="N119" s="25"/>
      <c r="O119" s="25" t="str">
        <f t="array" ref="O119">INDEX(М[Форма закупа],MATCH(1,IF(($B119=М[Наим.])*($C119=М[Артикул, марка, произв.])*($D119=М[Хар-ка])*($N119=М[Прим.]),{1},($B119=М[Наим.])*($C119=М[Артикул, марка, произв.])*($D119=М[Хар-ка])*($N119=М[Прим.])),0))</f>
        <v>Закупка подрядчик</v>
      </c>
    </row>
    <row r="120" spans="1:15" ht="10.95" customHeight="1" outlineLevel="4" x14ac:dyDescent="0.2">
      <c r="A120" s="23" t="s">
        <v>44</v>
      </c>
      <c r="B120" s="24" t="s">
        <v>66</v>
      </c>
      <c r="C120" s="25"/>
      <c r="D120" s="25" t="s">
        <v>106</v>
      </c>
      <c r="E120" s="26" t="s">
        <v>27</v>
      </c>
      <c r="F120" s="29">
        <v>1.0149999999999999</v>
      </c>
      <c r="G120" s="33">
        <v>1044.4000000000001</v>
      </c>
      <c r="H120" s="27"/>
      <c r="I120" s="27"/>
      <c r="J120" s="27"/>
      <c r="K120" s="33">
        <f>SUM($G$120:$J$120)</f>
        <v>1044.4000000000001</v>
      </c>
      <c r="L120" s="32">
        <f t="array" ref="L120">INDEX(М[Цена за ед., руб],MATCH(1,IF(($B120=М[Наим.])*($C120=М[Артикул, марка, произв.])*($D120=М[Хар-ка])*($N120=М[Прим.]),{1},($B120=М[Наим.])*($C120=М[Артикул, марка, произв.])*($D120=М[Хар-ка])*($N120=М[Прим.])),0))</f>
        <v>0</v>
      </c>
      <c r="M120" s="32">
        <f>ROUND($K$120*$L$120,2)</f>
        <v>0</v>
      </c>
      <c r="N120" s="25"/>
      <c r="O120" s="25" t="str">
        <f t="array" ref="O120">INDEX(М[Форма закупа],MATCH(1,IF(($B120=М[Наим.])*($C120=М[Артикул, марка, произв.])*($D120=М[Хар-ка])*($N120=М[Прим.]),{1},($B120=М[Наим.])*($C120=М[Артикул, марка, произв.])*($D120=М[Хар-ка])*($N120=М[Прим.])),0))</f>
        <v>Закупка подрядчик</v>
      </c>
    </row>
    <row r="121" spans="1:15" ht="10.95" customHeight="1" outlineLevel="4" x14ac:dyDescent="0.2">
      <c r="A121" s="23" t="s">
        <v>48</v>
      </c>
      <c r="B121" s="24" t="s">
        <v>66</v>
      </c>
      <c r="C121" s="25"/>
      <c r="D121" s="25" t="s">
        <v>68</v>
      </c>
      <c r="E121" s="26" t="s">
        <v>27</v>
      </c>
      <c r="F121" s="29">
        <v>1.0149999999999999</v>
      </c>
      <c r="G121" s="28">
        <v>614.04</v>
      </c>
      <c r="H121" s="27"/>
      <c r="I121" s="27"/>
      <c r="J121" s="27"/>
      <c r="K121" s="28">
        <f>SUM($G$121:$J$121)</f>
        <v>614.04</v>
      </c>
      <c r="L121" s="32">
        <f t="array" ref="L121">INDEX(М[Цена за ед., руб],MATCH(1,IF(($B121=М[Наим.])*($C121=М[Артикул, марка, произв.])*($D121=М[Хар-ка])*($N121=М[Прим.]),{1},($B121=М[Наим.])*($C121=М[Артикул, марка, произв.])*($D121=М[Хар-ка])*($N121=М[Прим.])),0))</f>
        <v>0</v>
      </c>
      <c r="M121" s="32">
        <f>ROUND($K$121*$L$121,2)</f>
        <v>0</v>
      </c>
      <c r="N121" s="25"/>
      <c r="O121" s="25" t="str">
        <f t="array" ref="O121">INDEX(М[Форма закупа],MATCH(1,IF(($B121=М[Наим.])*($C121=М[Артикул, марка, произв.])*($D121=М[Хар-ка])*($N121=М[Прим.]),{1},($B121=М[Наим.])*($C121=М[Артикул, марка, произв.])*($D121=М[Хар-ка])*($N121=М[Прим.])),0))</f>
        <v>Закупка подрядчик</v>
      </c>
    </row>
    <row r="122" spans="1:15" ht="10.95" customHeight="1" outlineLevel="4" x14ac:dyDescent="0.2">
      <c r="A122" s="23" t="s">
        <v>51</v>
      </c>
      <c r="B122" s="24" t="s">
        <v>57</v>
      </c>
      <c r="C122" s="25"/>
      <c r="D122" s="25" t="s">
        <v>75</v>
      </c>
      <c r="E122" s="26" t="s">
        <v>27</v>
      </c>
      <c r="F122" s="29">
        <v>1.0149999999999999</v>
      </c>
      <c r="G122" s="31">
        <v>119.9</v>
      </c>
      <c r="H122" s="27"/>
      <c r="I122" s="27"/>
      <c r="J122" s="27"/>
      <c r="K122" s="31">
        <f>SUM($G$122:$J$122)</f>
        <v>119.9</v>
      </c>
      <c r="L122" s="32">
        <f t="array" ref="L122">INDEX(М[Цена за ед., руб],MATCH(1,IF(($B122=М[Наим.])*($C122=М[Артикул, марка, произв.])*($D122=М[Хар-ка])*($N122=М[Прим.]),{1},($B122=М[Наим.])*($C122=М[Артикул, марка, произв.])*($D122=М[Хар-ка])*($N122=М[Прим.])),0))</f>
        <v>0</v>
      </c>
      <c r="M122" s="32">
        <f>ROUND($K$122*$L$122,2)</f>
        <v>0</v>
      </c>
      <c r="N122" s="25" t="s">
        <v>107</v>
      </c>
      <c r="O122" s="25" t="str">
        <f t="array" ref="O122">INDEX(М[Форма закупа],MATCH(1,IF(($B122=М[Наим.])*($C122=М[Артикул, марка, произв.])*($D122=М[Хар-ка])*($N122=М[Прим.]),{1},($B122=М[Наим.])*($C122=М[Артикул, марка, произв.])*($D122=М[Хар-ка])*($N122=М[Прим.])),0))</f>
        <v>Закупка подрядчик</v>
      </c>
    </row>
    <row r="123" spans="1:15" ht="10.95" customHeight="1" outlineLevel="4" x14ac:dyDescent="0.2">
      <c r="A123" s="20"/>
      <c r="B123" s="14" t="s">
        <v>25</v>
      </c>
      <c r="C123" s="21"/>
      <c r="D123" s="21"/>
      <c r="E123" s="21"/>
      <c r="F123" s="21"/>
      <c r="G123" s="21"/>
      <c r="H123" s="21"/>
      <c r="I123" s="21"/>
      <c r="J123" s="21"/>
      <c r="K123" s="21"/>
      <c r="L123" s="85"/>
      <c r="M123" s="86">
        <f>SUM($M$124)</f>
        <v>0</v>
      </c>
      <c r="N123" s="18"/>
      <c r="O123" s="22"/>
    </row>
    <row r="124" spans="1:15" ht="22.95" customHeight="1" outlineLevel="4" x14ac:dyDescent="0.2">
      <c r="A124" s="23"/>
      <c r="B124" s="24" t="s">
        <v>108</v>
      </c>
      <c r="C124" s="25"/>
      <c r="D124" s="25"/>
      <c r="E124" s="26" t="s">
        <v>27</v>
      </c>
      <c r="F124" s="27"/>
      <c r="G124" s="32">
        <v>5301.51</v>
      </c>
      <c r="H124" s="32">
        <v>9052.35</v>
      </c>
      <c r="I124" s="32">
        <v>3783.81</v>
      </c>
      <c r="J124" s="32">
        <v>6066.33</v>
      </c>
      <c r="K124" s="34">
        <f>SUM($G$124:$J$124)</f>
        <v>24204</v>
      </c>
      <c r="L124" s="32">
        <f t="array" ref="L124">INDEX(Р[Цена за ед., руб],MATCH(1,IF(($B124=Р[Наименование])*($N124=Р[Примечание]),{1},($B124=Р[Наименование])*($N124=Р[Примечание])),0))</f>
        <v>0</v>
      </c>
      <c r="M124" s="32">
        <f>ROUND($K$124*$L$124,2)</f>
        <v>0</v>
      </c>
      <c r="N124" s="25" t="s">
        <v>109</v>
      </c>
      <c r="O124" s="25"/>
    </row>
    <row r="125" spans="1:15" ht="10.95" customHeight="1" outlineLevel="4" x14ac:dyDescent="0.2">
      <c r="A125" s="20"/>
      <c r="B125" s="14" t="s">
        <v>29</v>
      </c>
      <c r="C125" s="21"/>
      <c r="D125" s="21"/>
      <c r="E125" s="21"/>
      <c r="F125" s="21"/>
      <c r="G125" s="21"/>
      <c r="H125" s="21"/>
      <c r="I125" s="21"/>
      <c r="J125" s="21"/>
      <c r="K125" s="21"/>
      <c r="L125" s="85"/>
      <c r="M125" s="86">
        <f>SUM($M$126:$M$133)</f>
        <v>0</v>
      </c>
      <c r="N125" s="18"/>
      <c r="O125" s="22"/>
    </row>
    <row r="126" spans="1:15" ht="46.95" customHeight="1" outlineLevel="4" x14ac:dyDescent="0.2">
      <c r="A126" s="23" t="s">
        <v>30</v>
      </c>
      <c r="B126" s="24" t="s">
        <v>38</v>
      </c>
      <c r="C126" s="25"/>
      <c r="D126" s="25" t="s">
        <v>39</v>
      </c>
      <c r="E126" s="26" t="s">
        <v>40</v>
      </c>
      <c r="F126" s="29">
        <v>0.14000000000000001</v>
      </c>
      <c r="G126" s="28">
        <v>41.88</v>
      </c>
      <c r="H126" s="28">
        <v>71.930000000000007</v>
      </c>
      <c r="I126" s="28">
        <v>29.89</v>
      </c>
      <c r="J126" s="28">
        <v>48.24</v>
      </c>
      <c r="K126" s="28">
        <f>SUM($G$126:$J$126)</f>
        <v>191.94</v>
      </c>
      <c r="L126" s="32">
        <f t="array" ref="L126">INDEX(М[Цена за ед., руб],MATCH(1,IF(($B126=М[Наим.])*($C126=М[Артикул, марка, произв.])*($D126=М[Хар-ка])*($N126=М[Прим.]),{1},($B126=М[Наим.])*($C126=М[Артикул, марка, произв.])*($D126=М[Хар-ка])*($N126=М[Прим.])),0))</f>
        <v>0</v>
      </c>
      <c r="M126" s="32">
        <f>ROUND($K$126*$L$126,2)</f>
        <v>0</v>
      </c>
      <c r="N126" s="25"/>
      <c r="O126" s="25" t="str">
        <f t="array" ref="O126">INDEX(М[Форма закупа],MATCH(1,IF(($B126=М[Наим.])*($C126=М[Артикул, марка, произв.])*($D126=М[Хар-ка])*($N126=М[Прим.]),{1},($B126=М[Наим.])*($C126=М[Артикул, марка, произв.])*($D126=М[Хар-ка])*($N126=М[Прим.])),0))</f>
        <v>Закупка подрядчик</v>
      </c>
    </row>
    <row r="127" spans="1:15" ht="10.95" customHeight="1" outlineLevel="4" x14ac:dyDescent="0.2">
      <c r="A127" s="23" t="s">
        <v>34</v>
      </c>
      <c r="B127" s="24" t="s">
        <v>42</v>
      </c>
      <c r="C127" s="25"/>
      <c r="D127" s="25" t="s">
        <v>43</v>
      </c>
      <c r="E127" s="26" t="s">
        <v>27</v>
      </c>
      <c r="F127" s="29">
        <v>7.6999999999999999E-2</v>
      </c>
      <c r="G127" s="28">
        <v>23.03</v>
      </c>
      <c r="H127" s="28">
        <v>39.56</v>
      </c>
      <c r="I127" s="28">
        <v>16.440000000000001</v>
      </c>
      <c r="J127" s="28">
        <v>26.53</v>
      </c>
      <c r="K127" s="28">
        <f>SUM($G$127:$J$127)</f>
        <v>105.56</v>
      </c>
      <c r="L127" s="32">
        <f t="array" ref="L127">INDEX(М[Цена за ед., руб],MATCH(1,IF(($B127=М[Наим.])*($C127=М[Артикул, марка, произв.])*($D127=М[Хар-ка])*($N127=М[Прим.]),{1},($B127=М[Наим.])*($C127=М[Артикул, марка, произв.])*($D127=М[Хар-ка])*($N127=М[Прим.])),0))</f>
        <v>0</v>
      </c>
      <c r="M127" s="32">
        <f>ROUND($K$127*$L$127,2)</f>
        <v>0</v>
      </c>
      <c r="N127" s="25"/>
      <c r="O127" s="25" t="str">
        <f t="array" ref="O127">INDEX(М[Форма закупа],MATCH(1,IF(($B127=М[Наим.])*($C127=М[Артикул, марка, произв.])*($D127=М[Хар-ка])*($N127=М[Прим.]),{1},($B127=М[Наим.])*($C127=М[Артикул, марка, произв.])*($D127=М[Хар-ка])*($N127=М[Прим.])),0))</f>
        <v>Закупка подрядчик</v>
      </c>
    </row>
    <row r="128" spans="1:15" ht="22.95" customHeight="1" outlineLevel="4" x14ac:dyDescent="0.2">
      <c r="A128" s="23" t="s">
        <v>37</v>
      </c>
      <c r="B128" s="24" t="s">
        <v>45</v>
      </c>
      <c r="C128" s="25"/>
      <c r="D128" s="25" t="s">
        <v>65</v>
      </c>
      <c r="E128" s="26" t="s">
        <v>47</v>
      </c>
      <c r="F128" s="27"/>
      <c r="G128" s="27"/>
      <c r="H128" s="27"/>
      <c r="I128" s="30">
        <v>28</v>
      </c>
      <c r="J128" s="27"/>
      <c r="K128" s="30">
        <f>SUM($G$128:$J$128)</f>
        <v>28</v>
      </c>
      <c r="L128" s="32">
        <f t="array" ref="L128">INDEX(М[Цена за ед., руб],MATCH(1,IF(($B128=М[Наим.])*($C128=М[Артикул, марка, произв.])*($D128=М[Хар-ка])*($N128=М[Прим.]),{1},($B128=М[Наим.])*($C128=М[Артикул, марка, произв.])*($D128=М[Хар-ка])*($N128=М[Прим.])),0))</f>
        <v>0</v>
      </c>
      <c r="M128" s="32">
        <f>ROUND($K$128*$L$128,2)</f>
        <v>0</v>
      </c>
      <c r="N128" s="25"/>
      <c r="O128" s="25" t="str">
        <f t="array" ref="O128">INDEX(М[Форма закупа],MATCH(1,IF(($B128=М[Наим.])*($C128=М[Артикул, марка, произв.])*($D128=М[Хар-ка])*($N128=М[Прим.]),{1},($B128=М[Наим.])*($C128=М[Артикул, марка, произв.])*($D128=М[Хар-ка])*($N128=М[Прим.])),0))</f>
        <v>Закупка подрядчик</v>
      </c>
    </row>
    <row r="129" spans="1:15" ht="22.95" customHeight="1" outlineLevel="4" x14ac:dyDescent="0.2">
      <c r="A129" s="23" t="s">
        <v>41</v>
      </c>
      <c r="B129" s="24" t="s">
        <v>45</v>
      </c>
      <c r="C129" s="25"/>
      <c r="D129" s="25" t="s">
        <v>105</v>
      </c>
      <c r="E129" s="26" t="s">
        <v>47</v>
      </c>
      <c r="F129" s="27"/>
      <c r="G129" s="30">
        <v>792</v>
      </c>
      <c r="H129" s="34">
        <v>1296</v>
      </c>
      <c r="I129" s="30">
        <v>552</v>
      </c>
      <c r="J129" s="30">
        <v>864</v>
      </c>
      <c r="K129" s="34">
        <f>SUM($G$129:$J$129)</f>
        <v>3504</v>
      </c>
      <c r="L129" s="32">
        <f t="array" ref="L129">INDEX(М[Цена за ед., руб],MATCH(1,IF(($B129=М[Наим.])*($C129=М[Артикул, марка, произв.])*($D129=М[Хар-ка])*($N129=М[Прим.]),{1},($B129=М[Наим.])*($C129=М[Артикул, марка, произв.])*($D129=М[Хар-ка])*($N129=М[Прим.])),0))</f>
        <v>0</v>
      </c>
      <c r="M129" s="32">
        <f>ROUND($K$129*$L$129,2)</f>
        <v>0</v>
      </c>
      <c r="N129" s="25"/>
      <c r="O129" s="25" t="str">
        <f t="array" ref="O129">INDEX(М[Форма закупа],MATCH(1,IF(($B129=М[Наим.])*($C129=М[Артикул, марка, произв.])*($D129=М[Хар-ка])*($N129=М[Прим.]),{1},($B129=М[Наим.])*($C129=М[Артикул, марка, произв.])*($D129=М[Хар-ка])*($N129=М[Прим.])),0))</f>
        <v>Закупка подрядчик</v>
      </c>
    </row>
    <row r="130" spans="1:15" ht="10.95" customHeight="1" outlineLevel="4" x14ac:dyDescent="0.2">
      <c r="A130" s="23" t="s">
        <v>44</v>
      </c>
      <c r="B130" s="24" t="s">
        <v>49</v>
      </c>
      <c r="C130" s="25"/>
      <c r="D130" s="25" t="s">
        <v>50</v>
      </c>
      <c r="E130" s="26" t="s">
        <v>27</v>
      </c>
      <c r="F130" s="29">
        <v>1.4999999999999999E-2</v>
      </c>
      <c r="G130" s="28">
        <v>79.52</v>
      </c>
      <c r="H130" s="28">
        <v>135.79</v>
      </c>
      <c r="I130" s="28">
        <v>56.76</v>
      </c>
      <c r="J130" s="30">
        <v>91</v>
      </c>
      <c r="K130" s="28">
        <f>SUM($G$130:$J$130)</f>
        <v>363.07</v>
      </c>
      <c r="L130" s="32">
        <f t="array" ref="L130">INDEX(М[Цена за ед., руб],MATCH(1,IF(($B130=М[Наим.])*($C130=М[Артикул, марка, произв.])*($D130=М[Хар-ка])*($N130=М[Прим.]),{1},($B130=М[Наим.])*($C130=М[Артикул, марка, произв.])*($D130=М[Хар-ка])*($N130=М[Прим.])),0))</f>
        <v>0</v>
      </c>
      <c r="M130" s="32">
        <f>ROUND($K$130*$L$130,2)</f>
        <v>0</v>
      </c>
      <c r="N130" s="25"/>
      <c r="O130" s="25" t="str">
        <f t="array" ref="O130">INDEX(М[Форма закупа],MATCH(1,IF(($B130=М[Наим.])*($C130=М[Артикул, марка, произв.])*($D130=М[Хар-ка])*($N130=М[Прим.]),{1},($B130=М[Наим.])*($C130=М[Артикул, марка, произв.])*($D130=М[Хар-ка])*($N130=М[Прим.])),0))</f>
        <v>Закупка подрядчик</v>
      </c>
    </row>
    <row r="131" spans="1:15" ht="10.95" customHeight="1" outlineLevel="4" x14ac:dyDescent="0.2">
      <c r="A131" s="23" t="s">
        <v>48</v>
      </c>
      <c r="B131" s="24" t="s">
        <v>66</v>
      </c>
      <c r="C131" s="25"/>
      <c r="D131" s="25" t="s">
        <v>106</v>
      </c>
      <c r="E131" s="26" t="s">
        <v>27</v>
      </c>
      <c r="F131" s="29">
        <v>1.0149999999999999</v>
      </c>
      <c r="G131" s="32">
        <v>3184.97</v>
      </c>
      <c r="H131" s="32">
        <v>5354.19</v>
      </c>
      <c r="I131" s="32">
        <v>2272.0100000000002</v>
      </c>
      <c r="J131" s="32">
        <v>3581.33</v>
      </c>
      <c r="K131" s="33">
        <f>SUM($G$131:$J$131)</f>
        <v>14392.5</v>
      </c>
      <c r="L131" s="32">
        <f t="array" ref="L131">INDEX(М[Цена за ед., руб],MATCH(1,IF(($B131=М[Наим.])*($C131=М[Артикул, марка, произв.])*($D131=М[Хар-ка])*($N131=М[Прим.]),{1},($B131=М[Наим.])*($C131=М[Артикул, марка, произв.])*($D131=М[Хар-ка])*($N131=М[Прим.])),0))</f>
        <v>0</v>
      </c>
      <c r="M131" s="32">
        <f>ROUND($K$131*$L$131,2)</f>
        <v>0</v>
      </c>
      <c r="N131" s="25"/>
      <c r="O131" s="25" t="str">
        <f t="array" ref="O131">INDEX(М[Форма закупа],MATCH(1,IF(($B131=М[Наим.])*($C131=М[Артикул, марка, произв.])*($D131=М[Хар-ка])*($N131=М[Прим.]),{1},($B131=М[Наим.])*($C131=М[Артикул, марка, произв.])*($D131=М[Хар-ка])*($N131=М[Прим.])),0))</f>
        <v>Закупка подрядчик</v>
      </c>
    </row>
    <row r="132" spans="1:15" ht="10.95" customHeight="1" outlineLevel="4" x14ac:dyDescent="0.2">
      <c r="A132" s="23" t="s">
        <v>51</v>
      </c>
      <c r="B132" s="24" t="s">
        <v>66</v>
      </c>
      <c r="C132" s="25"/>
      <c r="D132" s="25" t="s">
        <v>68</v>
      </c>
      <c r="E132" s="26" t="s">
        <v>27</v>
      </c>
      <c r="F132" s="29">
        <v>1.0149999999999999</v>
      </c>
      <c r="G132" s="32">
        <v>1836.36</v>
      </c>
      <c r="H132" s="32">
        <v>3245.36</v>
      </c>
      <c r="I132" s="32">
        <v>1310.33</v>
      </c>
      <c r="J132" s="33">
        <v>2183.6</v>
      </c>
      <c r="K132" s="32">
        <f>SUM($G$132:$J$132)</f>
        <v>8575.65</v>
      </c>
      <c r="L132" s="32">
        <f t="array" ref="L132">INDEX(М[Цена за ед., руб],MATCH(1,IF(($B132=М[Наим.])*($C132=М[Артикул, марка, произв.])*($D132=М[Хар-ка])*($N132=М[Прим.]),{1},($B132=М[Наим.])*($C132=М[Артикул, марка, произв.])*($D132=М[Хар-ка])*($N132=М[Прим.])),0))</f>
        <v>0</v>
      </c>
      <c r="M132" s="32">
        <f>ROUND($K$132*$L$132,2)</f>
        <v>0</v>
      </c>
      <c r="N132" s="25"/>
      <c r="O132" s="25" t="str">
        <f t="array" ref="O132">INDEX(М[Форма закупа],MATCH(1,IF(($B132=М[Наим.])*($C132=М[Артикул, марка, произв.])*($D132=М[Хар-ка])*($N132=М[Прим.]),{1},($B132=М[Наим.])*($C132=М[Артикул, марка, произв.])*($D132=М[Хар-ка])*($N132=М[Прим.])),0))</f>
        <v>Закупка подрядчик</v>
      </c>
    </row>
    <row r="133" spans="1:15" ht="22.95" customHeight="1" outlineLevel="4" x14ac:dyDescent="0.2">
      <c r="A133" s="23" t="s">
        <v>69</v>
      </c>
      <c r="B133" s="24" t="s">
        <v>57</v>
      </c>
      <c r="C133" s="25"/>
      <c r="D133" s="25" t="s">
        <v>75</v>
      </c>
      <c r="E133" s="26" t="s">
        <v>27</v>
      </c>
      <c r="F133" s="29">
        <v>1.0149999999999999</v>
      </c>
      <c r="G133" s="31">
        <v>359.7</v>
      </c>
      <c r="H133" s="28">
        <v>588.59</v>
      </c>
      <c r="I133" s="28">
        <v>258.23</v>
      </c>
      <c r="J133" s="31">
        <v>392.4</v>
      </c>
      <c r="K133" s="32">
        <f>SUM($G$133:$J$133)</f>
        <v>1598.92</v>
      </c>
      <c r="L133" s="32">
        <f t="array" ref="L133">INDEX(М[Цена за ед., руб],MATCH(1,IF(($B133=М[Наим.])*($C133=М[Артикул, марка, произв.])*($D133=М[Хар-ка])*($N133=М[Прим.]),{1},($B133=М[Наим.])*($C133=М[Артикул, марка, произв.])*($D133=М[Хар-ка])*($N133=М[Прим.])),0))</f>
        <v>0</v>
      </c>
      <c r="M133" s="32">
        <f>ROUND($K$133*$L$133,2)</f>
        <v>0</v>
      </c>
      <c r="N133" s="25" t="s">
        <v>110</v>
      </c>
      <c r="O133" s="25" t="str">
        <f t="array" ref="O133">INDEX(М[Форма закупа],MATCH(1,IF(($B133=М[Наим.])*($C133=М[Артикул, марка, произв.])*($D133=М[Хар-ка])*($N133=М[Прим.]),{1},($B133=М[Наим.])*($C133=М[Артикул, марка, произв.])*($D133=М[Хар-ка])*($N133=М[Прим.])),0))</f>
        <v>Закупка подрядчик</v>
      </c>
    </row>
    <row r="134" spans="1:15" ht="10.95" customHeight="1" outlineLevel="4" x14ac:dyDescent="0.2">
      <c r="A134" s="20"/>
      <c r="B134" s="14" t="s">
        <v>25</v>
      </c>
      <c r="C134" s="21"/>
      <c r="D134" s="21"/>
      <c r="E134" s="21"/>
      <c r="F134" s="21"/>
      <c r="G134" s="21"/>
      <c r="H134" s="21"/>
      <c r="I134" s="21"/>
      <c r="J134" s="21"/>
      <c r="K134" s="21"/>
      <c r="L134" s="85"/>
      <c r="M134" s="86">
        <f>SUM($M$135)</f>
        <v>0</v>
      </c>
      <c r="N134" s="18"/>
      <c r="O134" s="22"/>
    </row>
    <row r="135" spans="1:15" ht="34.950000000000003" customHeight="1" outlineLevel="4" x14ac:dyDescent="0.2">
      <c r="A135" s="23"/>
      <c r="B135" s="24" t="s">
        <v>111</v>
      </c>
      <c r="C135" s="25"/>
      <c r="D135" s="25"/>
      <c r="E135" s="26" t="s">
        <v>27</v>
      </c>
      <c r="F135" s="27"/>
      <c r="G135" s="28">
        <v>516.54999999999995</v>
      </c>
      <c r="H135" s="28">
        <v>384.49</v>
      </c>
      <c r="I135" s="28">
        <v>497.89</v>
      </c>
      <c r="J135" s="27"/>
      <c r="K135" s="32">
        <f>SUM($G$135:$J$135)</f>
        <v>1398.9299999999998</v>
      </c>
      <c r="L135" s="32">
        <f t="array" ref="L135">INDEX(Р[Цена за ед., руб],MATCH(1,IF(($B135=Р[Наименование])*($N135=Р[Примечание]),{1},($B135=Р[Наименование])*($N135=Р[Примечание])),0))</f>
        <v>0</v>
      </c>
      <c r="M135" s="32">
        <f>ROUND($K$135*$L$135,2)</f>
        <v>0</v>
      </c>
      <c r="N135" s="25" t="s">
        <v>112</v>
      </c>
      <c r="O135" s="25"/>
    </row>
    <row r="136" spans="1:15" ht="10.95" customHeight="1" outlineLevel="4" x14ac:dyDescent="0.2">
      <c r="A136" s="20"/>
      <c r="B136" s="14" t="s">
        <v>29</v>
      </c>
      <c r="C136" s="21"/>
      <c r="D136" s="21"/>
      <c r="E136" s="21"/>
      <c r="F136" s="21"/>
      <c r="G136" s="21"/>
      <c r="H136" s="21"/>
      <c r="I136" s="21"/>
      <c r="J136" s="21"/>
      <c r="K136" s="21"/>
      <c r="L136" s="85"/>
      <c r="M136" s="86">
        <f>SUM($M$137:$M$143)</f>
        <v>0</v>
      </c>
      <c r="N136" s="18"/>
      <c r="O136" s="22"/>
    </row>
    <row r="137" spans="1:15" ht="10.95" customHeight="1" outlineLevel="4" x14ac:dyDescent="0.2">
      <c r="A137" s="23" t="s">
        <v>30</v>
      </c>
      <c r="B137" s="24" t="s">
        <v>35</v>
      </c>
      <c r="C137" s="25"/>
      <c r="D137" s="25" t="s">
        <v>113</v>
      </c>
      <c r="E137" s="26" t="s">
        <v>27</v>
      </c>
      <c r="F137" s="29">
        <v>1.0149999999999999</v>
      </c>
      <c r="G137" s="28">
        <v>125.06</v>
      </c>
      <c r="H137" s="28">
        <v>93.09</v>
      </c>
      <c r="I137" s="28">
        <v>120.54</v>
      </c>
      <c r="J137" s="27"/>
      <c r="K137" s="28">
        <f>SUM($G$137:$J$137)</f>
        <v>338.69</v>
      </c>
      <c r="L137" s="32">
        <f t="array" ref="L137">INDEX(М[Цена за ед., руб],MATCH(1,IF(($B137=М[Наим.])*($C137=М[Артикул, марка, произв.])*($D137=М[Хар-ка])*($N137=М[Прим.]),{1},($B137=М[Наим.])*($C137=М[Артикул, марка, произв.])*($D137=М[Хар-ка])*($N137=М[Прим.])),0))</f>
        <v>0</v>
      </c>
      <c r="M137" s="32">
        <f>ROUND($K$137*$L$137,2)</f>
        <v>0</v>
      </c>
      <c r="N137" s="25"/>
      <c r="O137" s="25" t="str">
        <f t="array" ref="O137">INDEX(М[Форма закупа],MATCH(1,IF(($B137=М[Наим.])*($C137=М[Артикул, марка, произв.])*($D137=М[Хар-ка])*($N137=М[Прим.]),{1},($B137=М[Наим.])*($C137=М[Артикул, марка, произв.])*($D137=М[Хар-ка])*($N137=М[Прим.])),0))</f>
        <v>Закупка подрядчик</v>
      </c>
    </row>
    <row r="138" spans="1:15" ht="46.95" customHeight="1" outlineLevel="4" x14ac:dyDescent="0.2">
      <c r="A138" s="23" t="s">
        <v>34</v>
      </c>
      <c r="B138" s="24" t="s">
        <v>38</v>
      </c>
      <c r="C138" s="25"/>
      <c r="D138" s="25" t="s">
        <v>39</v>
      </c>
      <c r="E138" s="26" t="s">
        <v>40</v>
      </c>
      <c r="F138" s="29">
        <v>0.14000000000000001</v>
      </c>
      <c r="G138" s="28">
        <v>5.01</v>
      </c>
      <c r="H138" s="28">
        <v>3.73</v>
      </c>
      <c r="I138" s="28">
        <v>4.83</v>
      </c>
      <c r="J138" s="27"/>
      <c r="K138" s="28">
        <f>SUM($G$138:$J$138)</f>
        <v>13.57</v>
      </c>
      <c r="L138" s="32">
        <f t="array" ref="L138">INDEX(М[Цена за ед., руб],MATCH(1,IF(($B138=М[Наим.])*($C138=М[Артикул, марка, произв.])*($D138=М[Хар-ка])*($N138=М[Прим.]),{1},($B138=М[Наим.])*($C138=М[Артикул, марка, произв.])*($D138=М[Хар-ка])*($N138=М[Прим.])),0))</f>
        <v>0</v>
      </c>
      <c r="M138" s="32">
        <f>ROUND($K$138*$L$138,2)</f>
        <v>0</v>
      </c>
      <c r="N138" s="25"/>
      <c r="O138" s="25" t="str">
        <f t="array" ref="O138">INDEX(М[Форма закупа],MATCH(1,IF(($B138=М[Наим.])*($C138=М[Артикул, марка, произв.])*($D138=М[Хар-ка])*($N138=М[Прим.]),{1},($B138=М[Наим.])*($C138=М[Артикул, марка, произв.])*($D138=М[Хар-ка])*($N138=М[Прим.])),0))</f>
        <v>Закупка подрядчик</v>
      </c>
    </row>
    <row r="139" spans="1:15" ht="10.95" customHeight="1" outlineLevel="4" x14ac:dyDescent="0.2">
      <c r="A139" s="23" t="s">
        <v>37</v>
      </c>
      <c r="B139" s="24" t="s">
        <v>42</v>
      </c>
      <c r="C139" s="25"/>
      <c r="D139" s="25" t="s">
        <v>43</v>
      </c>
      <c r="E139" s="26" t="s">
        <v>27</v>
      </c>
      <c r="F139" s="29">
        <v>7.6999999999999999E-2</v>
      </c>
      <c r="G139" s="28">
        <v>2.76</v>
      </c>
      <c r="H139" s="28">
        <v>2.0499999999999998</v>
      </c>
      <c r="I139" s="28">
        <v>2.66</v>
      </c>
      <c r="J139" s="27"/>
      <c r="K139" s="28">
        <f>SUM($G$139:$J$139)</f>
        <v>7.47</v>
      </c>
      <c r="L139" s="32">
        <f t="array" ref="L139">INDEX(М[Цена за ед., руб],MATCH(1,IF(($B139=М[Наим.])*($C139=М[Артикул, марка, произв.])*($D139=М[Хар-ка])*($N139=М[Прим.]),{1},($B139=М[Наим.])*($C139=М[Артикул, марка, произв.])*($D139=М[Хар-ка])*($N139=М[Прим.])),0))</f>
        <v>0</v>
      </c>
      <c r="M139" s="32">
        <f>ROUND($K$139*$L$139,2)</f>
        <v>0</v>
      </c>
      <c r="N139" s="25"/>
      <c r="O139" s="25" t="str">
        <f t="array" ref="O139">INDEX(М[Форма закупа],MATCH(1,IF(($B139=М[Наим.])*($C139=М[Артикул, марка, произв.])*($D139=М[Хар-ка])*($N139=М[Прим.]),{1},($B139=М[Наим.])*($C139=М[Артикул, марка, произв.])*($D139=М[Хар-ка])*($N139=М[Прим.])),0))</f>
        <v>Закупка подрядчик</v>
      </c>
    </row>
    <row r="140" spans="1:15" ht="10.95" customHeight="1" outlineLevel="4" x14ac:dyDescent="0.2">
      <c r="A140" s="23" t="s">
        <v>41</v>
      </c>
      <c r="B140" s="24" t="s">
        <v>49</v>
      </c>
      <c r="C140" s="25"/>
      <c r="D140" s="25" t="s">
        <v>50</v>
      </c>
      <c r="E140" s="26" t="s">
        <v>27</v>
      </c>
      <c r="F140" s="29">
        <v>1.4999999999999999E-2</v>
      </c>
      <c r="G140" s="28">
        <v>7.75</v>
      </c>
      <c r="H140" s="28">
        <v>5.77</v>
      </c>
      <c r="I140" s="28">
        <v>7.47</v>
      </c>
      <c r="J140" s="27"/>
      <c r="K140" s="28">
        <f>SUM($G$140:$J$140)</f>
        <v>20.99</v>
      </c>
      <c r="L140" s="32">
        <f t="array" ref="L140">INDEX(М[Цена за ед., руб],MATCH(1,IF(($B140=М[Наим.])*($C140=М[Артикул, марка, произв.])*($D140=М[Хар-ка])*($N140=М[Прим.]),{1},($B140=М[Наим.])*($C140=М[Артикул, марка, произв.])*($D140=М[Хар-ка])*($N140=М[Прим.])),0))</f>
        <v>0</v>
      </c>
      <c r="M140" s="32">
        <f>ROUND($K$140*$L$140,2)</f>
        <v>0</v>
      </c>
      <c r="N140" s="25"/>
      <c r="O140" s="25" t="str">
        <f t="array" ref="O140">INDEX(М[Форма закупа],MATCH(1,IF(($B140=М[Наим.])*($C140=М[Артикул, марка, произв.])*($D140=М[Хар-ка])*($N140=М[Прим.]),{1},($B140=М[Наим.])*($C140=М[Артикул, марка, произв.])*($D140=М[Хар-ка])*($N140=М[Прим.])),0))</f>
        <v>Закупка подрядчик</v>
      </c>
    </row>
    <row r="141" spans="1:15" ht="10.95" customHeight="1" outlineLevel="4" x14ac:dyDescent="0.2">
      <c r="A141" s="23" t="s">
        <v>44</v>
      </c>
      <c r="B141" s="24" t="s">
        <v>66</v>
      </c>
      <c r="C141" s="25"/>
      <c r="D141" s="25" t="s">
        <v>67</v>
      </c>
      <c r="E141" s="26" t="s">
        <v>27</v>
      </c>
      <c r="F141" s="29">
        <v>1.0149999999999999</v>
      </c>
      <c r="G141" s="28">
        <v>29.72</v>
      </c>
      <c r="H141" s="28">
        <v>22.12</v>
      </c>
      <c r="I141" s="28">
        <v>28.65</v>
      </c>
      <c r="J141" s="27"/>
      <c r="K141" s="28">
        <f>SUM($G$141:$J$141)</f>
        <v>80.490000000000009</v>
      </c>
      <c r="L141" s="32">
        <f t="array" ref="L141">INDEX(М[Цена за ед., руб],MATCH(1,IF(($B141=М[Наим.])*($C141=М[Артикул, марка, произв.])*($D141=М[Хар-ка])*($N141=М[Прим.]),{1},($B141=М[Наим.])*($C141=М[Артикул, марка, произв.])*($D141=М[Хар-ка])*($N141=М[Прим.])),0))</f>
        <v>0</v>
      </c>
      <c r="M141" s="32">
        <f>ROUND($K$141*$L$141,2)</f>
        <v>0</v>
      </c>
      <c r="N141" s="25"/>
      <c r="O141" s="25" t="str">
        <f t="array" ref="O141">INDEX(М[Форма закупа],MATCH(1,IF(($B141=М[Наим.])*($C141=М[Артикул, марка, произв.])*($D141=М[Хар-ка])*($N141=М[Прим.]),{1},($B141=М[Наим.])*($C141=М[Артикул, марка, произв.])*($D141=М[Хар-ка])*($N141=М[Прим.])),0))</f>
        <v>Закупка подрядчик</v>
      </c>
    </row>
    <row r="142" spans="1:15" ht="10.95" customHeight="1" outlineLevel="4" x14ac:dyDescent="0.2">
      <c r="A142" s="23" t="s">
        <v>48</v>
      </c>
      <c r="B142" s="24" t="s">
        <v>66</v>
      </c>
      <c r="C142" s="25"/>
      <c r="D142" s="25" t="s">
        <v>68</v>
      </c>
      <c r="E142" s="26" t="s">
        <v>27</v>
      </c>
      <c r="F142" s="29">
        <v>1.0149999999999999</v>
      </c>
      <c r="G142" s="28">
        <v>347.86</v>
      </c>
      <c r="H142" s="28">
        <v>258.93</v>
      </c>
      <c r="I142" s="31">
        <v>335.3</v>
      </c>
      <c r="J142" s="27"/>
      <c r="K142" s="28">
        <f>SUM($G$142:$J$142)</f>
        <v>942.08999999999992</v>
      </c>
      <c r="L142" s="32">
        <f t="array" ref="L142">INDEX(М[Цена за ед., руб],MATCH(1,IF(($B142=М[Наим.])*($C142=М[Артикул, марка, произв.])*($D142=М[Хар-ка])*($N142=М[Прим.]),{1},($B142=М[Наим.])*($C142=М[Артикул, марка, произв.])*($D142=М[Хар-ка])*($N142=М[Прим.])),0))</f>
        <v>0</v>
      </c>
      <c r="M142" s="32">
        <f>ROUND($K$142*$L$142,2)</f>
        <v>0</v>
      </c>
      <c r="N142" s="25"/>
      <c r="O142" s="25" t="str">
        <f t="array" ref="O142">INDEX(М[Форма закупа],MATCH(1,IF(($B142=М[Наим.])*($C142=М[Артикул, марка, произв.])*($D142=М[Хар-ка])*($N142=М[Прим.]),{1},($B142=М[Наим.])*($C142=М[Артикул, марка, произв.])*($D142=М[Хар-ка])*($N142=М[Прим.])),0))</f>
        <v>Закупка подрядчик</v>
      </c>
    </row>
    <row r="143" spans="1:15" ht="10.95" customHeight="1" outlineLevel="4" x14ac:dyDescent="0.2">
      <c r="A143" s="23" t="s">
        <v>51</v>
      </c>
      <c r="B143" s="24" t="s">
        <v>57</v>
      </c>
      <c r="C143" s="25"/>
      <c r="D143" s="25" t="s">
        <v>92</v>
      </c>
      <c r="E143" s="26" t="s">
        <v>27</v>
      </c>
      <c r="F143" s="29">
        <v>1.0149999999999999</v>
      </c>
      <c r="G143" s="28">
        <v>21.66</v>
      </c>
      <c r="H143" s="28">
        <v>16.12</v>
      </c>
      <c r="I143" s="28">
        <v>20.88</v>
      </c>
      <c r="J143" s="27"/>
      <c r="K143" s="28">
        <f>SUM($G$143:$J$143)</f>
        <v>58.66</v>
      </c>
      <c r="L143" s="32">
        <f t="array" ref="L143">INDEX(М[Цена за ед., руб],MATCH(1,IF(($B143=М[Наим.])*($C143=М[Артикул, марка, произв.])*($D143=М[Хар-ка])*($N143=М[Прим.]),{1},($B143=М[Наим.])*($C143=М[Артикул, марка, произв.])*($D143=М[Хар-ка])*($N143=М[Прим.])),0))</f>
        <v>0</v>
      </c>
      <c r="M143" s="32">
        <f>ROUND($K$143*$L$143,2)</f>
        <v>0</v>
      </c>
      <c r="N143" s="25" t="s">
        <v>114</v>
      </c>
      <c r="O143" s="25" t="str">
        <f t="array" ref="O143">INDEX(М[Форма закупа],MATCH(1,IF(($B143=М[Наим.])*($C143=М[Артикул, марка, произв.])*($D143=М[Хар-ка])*($N143=М[Прим.]),{1},($B143=М[Наим.])*($C143=М[Артикул, марка, произв.])*($D143=М[Хар-ка])*($N143=М[Прим.])),0))</f>
        <v>Закупка подрядчик</v>
      </c>
    </row>
    <row r="144" spans="1:15" ht="10.95" customHeight="1" outlineLevel="2" x14ac:dyDescent="0.2">
      <c r="A144" s="13" t="s">
        <v>115</v>
      </c>
      <c r="B144" s="14" t="s">
        <v>116</v>
      </c>
      <c r="C144" s="15"/>
      <c r="D144" s="15"/>
      <c r="E144" s="16"/>
      <c r="F144" s="17"/>
      <c r="G144" s="18"/>
      <c r="H144" s="18"/>
      <c r="I144" s="18"/>
      <c r="J144" s="18"/>
      <c r="K144" s="18"/>
      <c r="L144" s="84"/>
      <c r="M144" s="84">
        <f>SUM($M$145)</f>
        <v>0</v>
      </c>
      <c r="N144" s="19"/>
      <c r="O144" s="19"/>
    </row>
    <row r="145" spans="1:15" ht="10.95" customHeight="1" outlineLevel="3" x14ac:dyDescent="0.2">
      <c r="A145" s="13" t="s">
        <v>117</v>
      </c>
      <c r="B145" s="14" t="s">
        <v>116</v>
      </c>
      <c r="C145" s="15"/>
      <c r="D145" s="15"/>
      <c r="E145" s="16"/>
      <c r="F145" s="17"/>
      <c r="G145" s="18"/>
      <c r="H145" s="18"/>
      <c r="I145" s="18"/>
      <c r="J145" s="18"/>
      <c r="K145" s="18"/>
      <c r="L145" s="84"/>
      <c r="M145" s="84">
        <f>SUM($M$148,$M$146)</f>
        <v>0</v>
      </c>
      <c r="N145" s="19"/>
      <c r="O145" s="19"/>
    </row>
    <row r="146" spans="1:15" ht="10.95" customHeight="1" outlineLevel="4" x14ac:dyDescent="0.2">
      <c r="A146" s="20"/>
      <c r="B146" s="14" t="s">
        <v>25</v>
      </c>
      <c r="C146" s="21"/>
      <c r="D146" s="21"/>
      <c r="E146" s="21"/>
      <c r="F146" s="21"/>
      <c r="G146" s="21"/>
      <c r="H146" s="21"/>
      <c r="I146" s="21"/>
      <c r="J146" s="21"/>
      <c r="K146" s="21"/>
      <c r="L146" s="85"/>
      <c r="M146" s="86">
        <f>SUM($M$147)</f>
        <v>0</v>
      </c>
      <c r="N146" s="18"/>
      <c r="O146" s="22"/>
    </row>
    <row r="147" spans="1:15" ht="58.95" customHeight="1" outlineLevel="4" x14ac:dyDescent="0.2">
      <c r="A147" s="23"/>
      <c r="B147" s="24" t="s">
        <v>118</v>
      </c>
      <c r="C147" s="25"/>
      <c r="D147" s="25"/>
      <c r="E147" s="26" t="s">
        <v>47</v>
      </c>
      <c r="F147" s="27"/>
      <c r="G147" s="30">
        <v>3</v>
      </c>
      <c r="H147" s="30">
        <v>4</v>
      </c>
      <c r="I147" s="30">
        <v>3</v>
      </c>
      <c r="J147" s="30">
        <v>5</v>
      </c>
      <c r="K147" s="30">
        <f>SUM($G$147:$J$147)</f>
        <v>15</v>
      </c>
      <c r="L147" s="32">
        <f t="array" ref="L147">INDEX(Р[Цена за ед., руб],MATCH(1,IF(($B147=Р[Наименование])*($N147=Р[Примечание]),{1},($B147=Р[Наименование])*($N147=Р[Примечание])),0))</f>
        <v>0</v>
      </c>
      <c r="M147" s="32">
        <f>ROUND($K$147*$L$147,2)</f>
        <v>0</v>
      </c>
      <c r="N147" s="25" t="s">
        <v>119</v>
      </c>
      <c r="O147" s="25"/>
    </row>
    <row r="148" spans="1:15" ht="10.95" customHeight="1" outlineLevel="4" x14ac:dyDescent="0.2">
      <c r="A148" s="20"/>
      <c r="B148" s="14" t="s">
        <v>29</v>
      </c>
      <c r="C148" s="21"/>
      <c r="D148" s="21"/>
      <c r="E148" s="21"/>
      <c r="F148" s="21"/>
      <c r="G148" s="21"/>
      <c r="H148" s="21"/>
      <c r="I148" s="21"/>
      <c r="J148" s="21"/>
      <c r="K148" s="21"/>
      <c r="L148" s="85"/>
      <c r="M148" s="86">
        <f>SUM($M$149:$M$162)</f>
        <v>0</v>
      </c>
      <c r="N148" s="18"/>
      <c r="O148" s="22"/>
    </row>
    <row r="149" spans="1:15" ht="22.95" customHeight="1" outlineLevel="4" x14ac:dyDescent="0.2">
      <c r="A149" s="23" t="s">
        <v>30</v>
      </c>
      <c r="B149" s="24" t="s">
        <v>31</v>
      </c>
      <c r="C149" s="25"/>
      <c r="D149" s="25" t="s">
        <v>120</v>
      </c>
      <c r="E149" s="26" t="s">
        <v>33</v>
      </c>
      <c r="F149" s="29">
        <v>1.0149999999999999</v>
      </c>
      <c r="G149" s="29">
        <v>2.1999999999999999E-2</v>
      </c>
      <c r="H149" s="29">
        <v>5.6000000000000001E-2</v>
      </c>
      <c r="I149" s="29">
        <v>2.1999999999999999E-2</v>
      </c>
      <c r="J149" s="29">
        <v>5.6000000000000001E-2</v>
      </c>
      <c r="K149" s="29">
        <f>SUM($G$149:$J$149)</f>
        <v>0.156</v>
      </c>
      <c r="L149" s="32">
        <f t="array" ref="L149">INDEX(М[Цена за ед., руб],MATCH(1,IF(($B149=М[Наим.])*($C149=М[Артикул, марка, произв.])*($D149=М[Хар-ка])*($N149=М[Прим.]),{1},($B149=М[Наим.])*($C149=М[Артикул, марка, произв.])*($D149=М[Хар-ка])*($N149=М[Прим.])),0))</f>
        <v>0</v>
      </c>
      <c r="M149" s="32">
        <f>ROUND($K$149*$L$149,2)</f>
        <v>0</v>
      </c>
      <c r="N149" s="25"/>
      <c r="O149" s="25" t="str">
        <f t="array" ref="O149">INDEX(М[Форма закупа],MATCH(1,IF(($B149=М[Наим.])*($C149=М[Артикул, марка, произв.])*($D149=М[Хар-ка])*($N149=М[Прим.]),{1},($B149=М[Наим.])*($C149=М[Артикул, марка, произв.])*($D149=М[Хар-ка])*($N149=М[Прим.])),0))</f>
        <v>Закупка подрядчик</v>
      </c>
    </row>
    <row r="150" spans="1:15" ht="22.95" customHeight="1" outlineLevel="4" x14ac:dyDescent="0.2">
      <c r="A150" s="23" t="s">
        <v>34</v>
      </c>
      <c r="B150" s="24" t="s">
        <v>31</v>
      </c>
      <c r="C150" s="25"/>
      <c r="D150" s="25" t="s">
        <v>121</v>
      </c>
      <c r="E150" s="26" t="s">
        <v>33</v>
      </c>
      <c r="F150" s="29">
        <v>1.0149999999999999</v>
      </c>
      <c r="G150" s="29">
        <v>1E-3</v>
      </c>
      <c r="H150" s="29">
        <v>1E-3</v>
      </c>
      <c r="I150" s="29">
        <v>1E-3</v>
      </c>
      <c r="J150" s="29">
        <v>1E-3</v>
      </c>
      <c r="K150" s="29">
        <f>SUM($G$150:$J$150)</f>
        <v>4.0000000000000001E-3</v>
      </c>
      <c r="L150" s="32">
        <f t="array" ref="L150">INDEX(М[Цена за ед., руб],MATCH(1,IF(($B150=М[Наим.])*($C150=М[Артикул, марка, произв.])*($D150=М[Хар-ка])*($N150=М[Прим.]),{1},($B150=М[Наим.])*($C150=М[Артикул, марка, произв.])*($D150=М[Хар-ка])*($N150=М[Прим.])),0))</f>
        <v>0</v>
      </c>
      <c r="M150" s="32">
        <f>ROUND($K$150*$L$150,2)</f>
        <v>0</v>
      </c>
      <c r="N150" s="25"/>
      <c r="O150" s="25" t="str">
        <f t="array" ref="O150">INDEX(М[Форма закупа],MATCH(1,IF(($B150=М[Наим.])*($C150=М[Артикул, марка, произв.])*($D150=М[Хар-ка])*($N150=М[Прим.]),{1},($B150=М[Наим.])*($C150=М[Артикул, марка, произв.])*($D150=М[Хар-ка])*($N150=М[Прим.])),0))</f>
        <v>Закупка подрядчик</v>
      </c>
    </row>
    <row r="151" spans="1:15" ht="22.95" customHeight="1" outlineLevel="4" x14ac:dyDescent="0.2">
      <c r="A151" s="23" t="s">
        <v>37</v>
      </c>
      <c r="B151" s="24" t="s">
        <v>31</v>
      </c>
      <c r="C151" s="25"/>
      <c r="D151" s="25" t="s">
        <v>122</v>
      </c>
      <c r="E151" s="26" t="s">
        <v>33</v>
      </c>
      <c r="F151" s="29">
        <v>1.0149999999999999</v>
      </c>
      <c r="G151" s="29">
        <v>1.2999999999999999E-2</v>
      </c>
      <c r="H151" s="29">
        <v>1.2999999999999999E-2</v>
      </c>
      <c r="I151" s="29">
        <v>7.0000000000000001E-3</v>
      </c>
      <c r="J151" s="29">
        <v>1.2999999999999999E-2</v>
      </c>
      <c r="K151" s="29">
        <f>SUM($G$151:$J$151)</f>
        <v>4.5999999999999999E-2</v>
      </c>
      <c r="L151" s="32">
        <f t="array" ref="L151">INDEX(М[Цена за ед., руб],MATCH(1,IF(($B151=М[Наим.])*($C151=М[Артикул, марка, произв.])*($D151=М[Хар-ка])*($N151=М[Прим.]),{1},($B151=М[Наим.])*($C151=М[Артикул, марка, произв.])*($D151=М[Хар-ка])*($N151=М[Прим.])),0))</f>
        <v>0</v>
      </c>
      <c r="M151" s="32">
        <f>ROUND($K$151*$L$151,2)</f>
        <v>0</v>
      </c>
      <c r="N151" s="25"/>
      <c r="O151" s="25" t="str">
        <f t="array" ref="O151">INDEX(М[Форма закупа],MATCH(1,IF(($B151=М[Наим.])*($C151=М[Артикул, марка, произв.])*($D151=М[Хар-ка])*($N151=М[Прим.]),{1},($B151=М[Наим.])*($C151=М[Артикул, марка, произв.])*($D151=М[Хар-ка])*($N151=М[Прим.])),0))</f>
        <v>Закупка подрядчик</v>
      </c>
    </row>
    <row r="152" spans="1:15" ht="10.95" customHeight="1" outlineLevel="4" x14ac:dyDescent="0.2">
      <c r="A152" s="23" t="s">
        <v>41</v>
      </c>
      <c r="B152" s="24" t="s">
        <v>123</v>
      </c>
      <c r="C152" s="25"/>
      <c r="D152" s="25" t="s">
        <v>124</v>
      </c>
      <c r="E152" s="26" t="s">
        <v>27</v>
      </c>
      <c r="F152" s="29">
        <v>1.0149999999999999</v>
      </c>
      <c r="G152" s="28">
        <v>30.69</v>
      </c>
      <c r="H152" s="28">
        <v>30.69</v>
      </c>
      <c r="I152" s="28">
        <v>15.35</v>
      </c>
      <c r="J152" s="28">
        <v>30.69</v>
      </c>
      <c r="K152" s="28">
        <f>SUM($G$152:$J$152)</f>
        <v>107.42</v>
      </c>
      <c r="L152" s="32">
        <f t="array" ref="L152">INDEX(М[Цена за ед., руб],MATCH(1,IF(($B152=М[Наим.])*($C152=М[Артикул, марка, произв.])*($D152=М[Хар-ка])*($N152=М[Прим.]),{1},($B152=М[Наим.])*($C152=М[Артикул, марка, произв.])*($D152=М[Хар-ка])*($N152=М[Прим.])),0))</f>
        <v>0</v>
      </c>
      <c r="M152" s="32">
        <f>ROUND($K$152*$L$152,2)</f>
        <v>0</v>
      </c>
      <c r="N152" s="25"/>
      <c r="O152" s="25" t="str">
        <f t="array" ref="O152">INDEX(М[Форма закупа],MATCH(1,IF(($B152=М[Наим.])*($C152=М[Артикул, марка, произв.])*($D152=М[Хар-ка])*($N152=М[Прим.]),{1},($B152=М[Наим.])*($C152=М[Артикул, марка, произв.])*($D152=М[Хар-ка])*($N152=М[Прим.])),0))</f>
        <v>Закупка подрядчик</v>
      </c>
    </row>
    <row r="153" spans="1:15" ht="10.95" customHeight="1" outlineLevel="4" x14ac:dyDescent="0.2">
      <c r="A153" s="23" t="s">
        <v>44</v>
      </c>
      <c r="B153" s="24" t="s">
        <v>35</v>
      </c>
      <c r="C153" s="25"/>
      <c r="D153" s="25" t="s">
        <v>125</v>
      </c>
      <c r="E153" s="26" t="s">
        <v>27</v>
      </c>
      <c r="F153" s="29">
        <v>1.0149999999999999</v>
      </c>
      <c r="G153" s="28">
        <v>15.46</v>
      </c>
      <c r="H153" s="28">
        <v>15.46</v>
      </c>
      <c r="I153" s="28">
        <v>7.73</v>
      </c>
      <c r="J153" s="28">
        <v>15.46</v>
      </c>
      <c r="K153" s="28">
        <f>SUM($G$153:$J$153)</f>
        <v>54.110000000000007</v>
      </c>
      <c r="L153" s="32">
        <f t="array" ref="L153">INDEX(М[Цена за ед., руб],MATCH(1,IF(($B153=М[Наим.])*($C153=М[Артикул, марка, произв.])*($D153=М[Хар-ка])*($N153=М[Прим.]),{1},($B153=М[Наим.])*($C153=М[Артикул, марка, произв.])*($D153=М[Хар-ка])*($N153=М[Прим.])),0))</f>
        <v>0</v>
      </c>
      <c r="M153" s="32">
        <f>ROUND($K$153*$L$153,2)</f>
        <v>0</v>
      </c>
      <c r="N153" s="25"/>
      <c r="O153" s="25" t="str">
        <f t="array" ref="O153">INDEX(М[Форма закупа],MATCH(1,IF(($B153=М[Наим.])*($C153=М[Артикул, марка, произв.])*($D153=М[Хар-ка])*($N153=М[Прим.]),{1},($B153=М[Наим.])*($C153=М[Артикул, марка, произв.])*($D153=М[Хар-ка])*($N153=М[Прим.])),0))</f>
        <v>Закупка подрядчик</v>
      </c>
    </row>
    <row r="154" spans="1:15" ht="10.95" customHeight="1" outlineLevel="4" x14ac:dyDescent="0.2">
      <c r="A154" s="23" t="s">
        <v>48</v>
      </c>
      <c r="B154" s="24" t="s">
        <v>35</v>
      </c>
      <c r="C154" s="25"/>
      <c r="D154" s="25" t="s">
        <v>126</v>
      </c>
      <c r="E154" s="26" t="s">
        <v>27</v>
      </c>
      <c r="F154" s="29">
        <v>1.0149999999999999</v>
      </c>
      <c r="G154" s="28">
        <v>2.73</v>
      </c>
      <c r="H154" s="28">
        <v>2.73</v>
      </c>
      <c r="I154" s="28">
        <v>1.37</v>
      </c>
      <c r="J154" s="28">
        <v>2.73</v>
      </c>
      <c r="K154" s="28">
        <f>SUM($G$154:$J$154)</f>
        <v>9.56</v>
      </c>
      <c r="L154" s="32">
        <f t="array" ref="L154">INDEX(М[Цена за ед., руб],MATCH(1,IF(($B154=М[Наим.])*($C154=М[Артикул, марка, произв.])*($D154=М[Хар-ка])*($N154=М[Прим.]),{1},($B154=М[Наим.])*($C154=М[Артикул, марка, произв.])*($D154=М[Хар-ка])*($N154=М[Прим.])),0))</f>
        <v>0</v>
      </c>
      <c r="M154" s="32">
        <f>ROUND($K$154*$L$154,2)</f>
        <v>0</v>
      </c>
      <c r="N154" s="25"/>
      <c r="O154" s="25" t="str">
        <f t="array" ref="O154">INDEX(М[Форма закупа],MATCH(1,IF(($B154=М[Наим.])*($C154=М[Артикул, марка, произв.])*($D154=М[Хар-ка])*($N154=М[Прим.]),{1},($B154=М[Наим.])*($C154=М[Артикул, марка, произв.])*($D154=М[Хар-ка])*($N154=М[Прим.])),0))</f>
        <v>Закупка подрядчик</v>
      </c>
    </row>
    <row r="155" spans="1:15" ht="10.95" customHeight="1" outlineLevel="4" x14ac:dyDescent="0.2">
      <c r="A155" s="23" t="s">
        <v>51</v>
      </c>
      <c r="B155" s="24" t="s">
        <v>35</v>
      </c>
      <c r="C155" s="25"/>
      <c r="D155" s="25" t="s">
        <v>127</v>
      </c>
      <c r="E155" s="26" t="s">
        <v>27</v>
      </c>
      <c r="F155" s="29">
        <v>1.0149999999999999</v>
      </c>
      <c r="G155" s="28">
        <v>6.39</v>
      </c>
      <c r="H155" s="28">
        <v>14.25</v>
      </c>
      <c r="I155" s="28">
        <v>6.39</v>
      </c>
      <c r="J155" s="28">
        <v>14.25</v>
      </c>
      <c r="K155" s="28">
        <f>SUM($G$155:$J$155)</f>
        <v>41.28</v>
      </c>
      <c r="L155" s="32">
        <f t="array" ref="L155">INDEX(М[Цена за ед., руб],MATCH(1,IF(($B155=М[Наим.])*($C155=М[Артикул, марка, произв.])*($D155=М[Хар-ка])*($N155=М[Прим.]),{1},($B155=М[Наим.])*($C155=М[Артикул, марка, произв.])*($D155=М[Хар-ка])*($N155=М[Прим.])),0))</f>
        <v>0</v>
      </c>
      <c r="M155" s="32">
        <f>ROUND($K$155*$L$155,2)</f>
        <v>0</v>
      </c>
      <c r="N155" s="25"/>
      <c r="O155" s="25" t="str">
        <f t="array" ref="O155">INDEX(М[Форма закупа],MATCH(1,IF(($B155=М[Наим.])*($C155=М[Артикул, марка, произв.])*($D155=М[Хар-ка])*($N155=М[Прим.]),{1},($B155=М[Наим.])*($C155=М[Артикул, марка, произв.])*($D155=М[Хар-ка])*($N155=М[Прим.])),0))</f>
        <v>Закупка подрядчик</v>
      </c>
    </row>
    <row r="156" spans="1:15" ht="46.95" customHeight="1" outlineLevel="4" x14ac:dyDescent="0.2">
      <c r="A156" s="23" t="s">
        <v>69</v>
      </c>
      <c r="B156" s="24" t="s">
        <v>38</v>
      </c>
      <c r="C156" s="25"/>
      <c r="D156" s="25" t="s">
        <v>128</v>
      </c>
      <c r="E156" s="26" t="s">
        <v>40</v>
      </c>
      <c r="F156" s="29">
        <v>0.14000000000000001</v>
      </c>
      <c r="G156" s="27"/>
      <c r="H156" s="27"/>
      <c r="I156" s="28">
        <v>0.04</v>
      </c>
      <c r="J156" s="28">
        <v>0.04</v>
      </c>
      <c r="K156" s="28">
        <f>SUM($G$156:$J$156)</f>
        <v>0.08</v>
      </c>
      <c r="L156" s="32">
        <f t="array" ref="L156">INDEX(М[Цена за ед., руб],MATCH(1,IF(($B156=М[Наим.])*($C156=М[Артикул, марка, произв.])*($D156=М[Хар-ка])*($N156=М[Прим.]),{1},($B156=М[Наим.])*($C156=М[Артикул, марка, произв.])*($D156=М[Хар-ка])*($N156=М[Прим.])),0))</f>
        <v>0</v>
      </c>
      <c r="M156" s="32">
        <f>ROUND($K$156*$L$156,2)</f>
        <v>0</v>
      </c>
      <c r="N156" s="25"/>
      <c r="O156" s="25" t="str">
        <f t="array" ref="O156">INDEX(М[Форма закупа],MATCH(1,IF(($B156=М[Наим.])*($C156=М[Артикул, марка, произв.])*($D156=М[Хар-ка])*($N156=М[Прим.]),{1},($B156=М[Наим.])*($C156=М[Артикул, марка, произв.])*($D156=М[Хар-ка])*($N156=М[Прим.])),0))</f>
        <v>Закупка подрядчик</v>
      </c>
    </row>
    <row r="157" spans="1:15" ht="46.95" customHeight="1" outlineLevel="4" x14ac:dyDescent="0.2">
      <c r="A157" s="23" t="s">
        <v>71</v>
      </c>
      <c r="B157" s="24" t="s">
        <v>38</v>
      </c>
      <c r="C157" s="25"/>
      <c r="D157" s="25" t="s">
        <v>39</v>
      </c>
      <c r="E157" s="26" t="s">
        <v>40</v>
      </c>
      <c r="F157" s="29">
        <v>0.14000000000000001</v>
      </c>
      <c r="G157" s="28">
        <v>0.85</v>
      </c>
      <c r="H157" s="28">
        <v>0.93</v>
      </c>
      <c r="I157" s="28">
        <v>0.46</v>
      </c>
      <c r="J157" s="28">
        <v>0.93</v>
      </c>
      <c r="K157" s="28">
        <f>SUM($G$157:$J$157)</f>
        <v>3.1700000000000004</v>
      </c>
      <c r="L157" s="32">
        <f t="array" ref="L157">INDEX(М[Цена за ед., руб],MATCH(1,IF(($B157=М[Наим.])*($C157=М[Артикул, марка, произв.])*($D157=М[Хар-ка])*($N157=М[Прим.]),{1},($B157=М[Наим.])*($C157=М[Артикул, марка, произв.])*($D157=М[Хар-ка])*($N157=М[Прим.])),0))</f>
        <v>0</v>
      </c>
      <c r="M157" s="32">
        <f>ROUND($K$157*$L$157,2)</f>
        <v>0</v>
      </c>
      <c r="N157" s="25"/>
      <c r="O157" s="25" t="str">
        <f t="array" ref="O157">INDEX(М[Форма закупа],MATCH(1,IF(($B157=М[Наим.])*($C157=М[Артикул, марка, произв.])*($D157=М[Хар-ка])*($N157=М[Прим.]),{1},($B157=М[Наим.])*($C157=М[Артикул, марка, произв.])*($D157=М[Хар-ка])*($N157=М[Прим.])),0))</f>
        <v>Закупка подрядчик</v>
      </c>
    </row>
    <row r="158" spans="1:15" ht="10.95" customHeight="1" outlineLevel="4" x14ac:dyDescent="0.2">
      <c r="A158" s="23" t="s">
        <v>74</v>
      </c>
      <c r="B158" s="24" t="s">
        <v>42</v>
      </c>
      <c r="C158" s="25"/>
      <c r="D158" s="25" t="s">
        <v>43</v>
      </c>
      <c r="E158" s="26" t="s">
        <v>27</v>
      </c>
      <c r="F158" s="29">
        <v>7.6999999999999999E-2</v>
      </c>
      <c r="G158" s="28">
        <v>0.47</v>
      </c>
      <c r="H158" s="28">
        <v>0.51</v>
      </c>
      <c r="I158" s="28">
        <v>0.28000000000000003</v>
      </c>
      <c r="J158" s="28">
        <v>0.53</v>
      </c>
      <c r="K158" s="28">
        <f>SUM($G$158:$J$158)</f>
        <v>1.79</v>
      </c>
      <c r="L158" s="32">
        <f t="array" ref="L158">INDEX(М[Цена за ед., руб],MATCH(1,IF(($B158=М[Наим.])*($C158=М[Артикул, марка, произв.])*($D158=М[Хар-ка])*($N158=М[Прим.]),{1},($B158=М[Наим.])*($C158=М[Артикул, марка, произв.])*($D158=М[Хар-ка])*($N158=М[Прим.])),0))</f>
        <v>0</v>
      </c>
      <c r="M158" s="32">
        <f>ROUND($K$158*$L$158,2)</f>
        <v>0</v>
      </c>
      <c r="N158" s="25"/>
      <c r="O158" s="25" t="str">
        <f t="array" ref="O158">INDEX(М[Форма закупа],MATCH(1,IF(($B158=М[Наим.])*($C158=М[Артикул, марка, произв.])*($D158=М[Хар-ка])*($N158=М[Прим.]),{1},($B158=М[Наим.])*($C158=М[Артикул, марка, произв.])*($D158=М[Хар-ка])*($N158=М[Прим.])),0))</f>
        <v>Закупка подрядчик</v>
      </c>
    </row>
    <row r="159" spans="1:15" ht="10.95" customHeight="1" outlineLevel="4" x14ac:dyDescent="0.2">
      <c r="A159" s="23" t="s">
        <v>77</v>
      </c>
      <c r="B159" s="24" t="s">
        <v>49</v>
      </c>
      <c r="C159" s="25"/>
      <c r="D159" s="25" t="s">
        <v>50</v>
      </c>
      <c r="E159" s="26" t="s">
        <v>27</v>
      </c>
      <c r="F159" s="29">
        <v>1.4999999999999999E-2</v>
      </c>
      <c r="G159" s="28">
        <v>3.56</v>
      </c>
      <c r="H159" s="28">
        <v>4.17</v>
      </c>
      <c r="I159" s="28">
        <v>2.06</v>
      </c>
      <c r="J159" s="28">
        <v>4.2300000000000004</v>
      </c>
      <c r="K159" s="28">
        <f>SUM($G$159:$J$159)</f>
        <v>14.020000000000001</v>
      </c>
      <c r="L159" s="32">
        <f t="array" ref="L159">INDEX(М[Цена за ед., руб],MATCH(1,IF(($B159=М[Наим.])*($C159=М[Артикул, марка, произв.])*($D159=М[Хар-ка])*($N159=М[Прим.]),{1},($B159=М[Наим.])*($C159=М[Артикул, марка, произв.])*($D159=М[Хар-ка])*($N159=М[Прим.])),0))</f>
        <v>0</v>
      </c>
      <c r="M159" s="32">
        <f>ROUND($K$159*$L$159,2)</f>
        <v>0</v>
      </c>
      <c r="N159" s="25"/>
      <c r="O159" s="25" t="str">
        <f t="array" ref="O159">INDEX(М[Форма закупа],MATCH(1,IF(($B159=М[Наим.])*($C159=М[Артикул, марка, произв.])*($D159=М[Хар-ка])*($N159=М[Прим.]),{1},($B159=М[Наим.])*($C159=М[Артикул, марка, произв.])*($D159=М[Хар-ка])*($N159=М[Прим.])),0))</f>
        <v>Закупка подрядчик</v>
      </c>
    </row>
    <row r="160" spans="1:15" ht="10.95" customHeight="1" outlineLevel="4" x14ac:dyDescent="0.2">
      <c r="A160" s="23" t="s">
        <v>80</v>
      </c>
      <c r="B160" s="24" t="s">
        <v>66</v>
      </c>
      <c r="C160" s="25"/>
      <c r="D160" s="25" t="s">
        <v>70</v>
      </c>
      <c r="E160" s="26" t="s">
        <v>27</v>
      </c>
      <c r="F160" s="29">
        <v>1.0149999999999999</v>
      </c>
      <c r="G160" s="27"/>
      <c r="H160" s="27"/>
      <c r="I160" s="28">
        <v>4.54</v>
      </c>
      <c r="J160" s="28">
        <v>4.54</v>
      </c>
      <c r="K160" s="28">
        <f>SUM($G$160:$J$160)</f>
        <v>9.08</v>
      </c>
      <c r="L160" s="32">
        <f t="array" ref="L160">INDEX(М[Цена за ед., руб],MATCH(1,IF(($B160=М[Наим.])*($C160=М[Артикул, марка, произв.])*($D160=М[Хар-ка])*($N160=М[Прим.]),{1},($B160=М[Наим.])*($C160=М[Артикул, марка, произв.])*($D160=М[Хар-ка])*($N160=М[Прим.])),0))</f>
        <v>0</v>
      </c>
      <c r="M160" s="32">
        <f>ROUND($K$160*$L$160,2)</f>
        <v>0</v>
      </c>
      <c r="N160" s="25" t="s">
        <v>129</v>
      </c>
      <c r="O160" s="25" t="str">
        <f t="array" ref="O160">INDEX(М[Форма закупа],MATCH(1,IF(($B160=М[Наим.])*($C160=М[Артикул, марка, произв.])*($D160=М[Хар-ка])*($N160=М[Прим.]),{1},($B160=М[Наим.])*($C160=М[Артикул, марка, произв.])*($D160=М[Хар-ка])*($N160=М[Прим.])),0))</f>
        <v>Закупка подрядчик</v>
      </c>
    </row>
    <row r="161" spans="1:15" ht="10.95" customHeight="1" outlineLevel="4" x14ac:dyDescent="0.2">
      <c r="A161" s="23" t="s">
        <v>130</v>
      </c>
      <c r="B161" s="24" t="s">
        <v>66</v>
      </c>
      <c r="C161" s="25"/>
      <c r="D161" s="25" t="s">
        <v>131</v>
      </c>
      <c r="E161" s="26" t="s">
        <v>27</v>
      </c>
      <c r="F161" s="29">
        <v>1.0149999999999999</v>
      </c>
      <c r="G161" s="28">
        <v>42.78</v>
      </c>
      <c r="H161" s="28">
        <v>42.78</v>
      </c>
      <c r="I161" s="28">
        <v>21.39</v>
      </c>
      <c r="J161" s="28">
        <v>42.78</v>
      </c>
      <c r="K161" s="28">
        <f>SUM($G$161:$J$161)</f>
        <v>149.73000000000002</v>
      </c>
      <c r="L161" s="32">
        <f t="array" ref="L161">INDEX(М[Цена за ед., руб],MATCH(1,IF(($B161=М[Наим.])*($C161=М[Артикул, марка, произв.])*($D161=М[Хар-ка])*($N161=М[Прим.]),{1},($B161=М[Наим.])*($C161=М[Артикул, марка, произв.])*($D161=М[Хар-ка])*($N161=М[Прим.])),0))</f>
        <v>0</v>
      </c>
      <c r="M161" s="32">
        <f>ROUND($K$161*$L$161,2)</f>
        <v>0</v>
      </c>
      <c r="N161" s="25"/>
      <c r="O161" s="25" t="str">
        <f t="array" ref="O161">INDEX(М[Форма закупа],MATCH(1,IF(($B161=М[Наим.])*($C161=М[Артикул, марка, произв.])*($D161=М[Хар-ка])*($N161=М[Прим.]),{1},($B161=М[Наим.])*($C161=М[Артикул, марка, произв.])*($D161=М[Хар-ка])*($N161=М[Прим.])),0))</f>
        <v>Закупка подрядчик</v>
      </c>
    </row>
    <row r="162" spans="1:15" ht="22.95" customHeight="1" outlineLevel="4" x14ac:dyDescent="0.2">
      <c r="A162" s="23" t="s">
        <v>132</v>
      </c>
      <c r="B162" s="24" t="s">
        <v>133</v>
      </c>
      <c r="C162" s="25"/>
      <c r="D162" s="25" t="s">
        <v>134</v>
      </c>
      <c r="E162" s="26" t="s">
        <v>47</v>
      </c>
      <c r="F162" s="27"/>
      <c r="G162" s="30">
        <v>4</v>
      </c>
      <c r="H162" s="30">
        <v>4</v>
      </c>
      <c r="I162" s="30">
        <v>2</v>
      </c>
      <c r="J162" s="30">
        <v>4</v>
      </c>
      <c r="K162" s="30">
        <f>SUM($G$162:$J$162)</f>
        <v>14</v>
      </c>
      <c r="L162" s="32">
        <f t="array" ref="L162">INDEX(М[Цена за ед., руб],MATCH(1,IF(($B162=М[Наим.])*($C162=М[Артикул, марка, произв.])*($D162=М[Хар-ка])*($N162=М[Прим.]),{1},($B162=М[Наим.])*($C162=М[Артикул, марка, произв.])*($D162=М[Хар-ка])*($N162=М[Прим.])),0))</f>
        <v>0</v>
      </c>
      <c r="M162" s="32">
        <f>ROUND($K$162*$L$162,2)</f>
        <v>0</v>
      </c>
      <c r="N162" s="25" t="s">
        <v>135</v>
      </c>
      <c r="O162" s="25" t="str">
        <f t="array" ref="O162">INDEX(М[Форма закупа],MATCH(1,IF(($B162=М[Наим.])*($C162=М[Артикул, марка, произв.])*($D162=М[Хар-ка])*($N162=М[Прим.]),{1},($B162=М[Наим.])*($C162=М[Артикул, марка, произв.])*($D162=М[Хар-ка])*($N162=М[Прим.])),0))</f>
        <v>Закупка подрядчик</v>
      </c>
    </row>
    <row r="163" spans="1:15" ht="10.95" customHeight="1" x14ac:dyDescent="0.2">
      <c r="A163" s="35"/>
      <c r="B163" s="36"/>
      <c r="C163" s="36"/>
      <c r="D163" s="36"/>
      <c r="E163" s="36"/>
      <c r="F163" s="36"/>
      <c r="G163" s="37"/>
      <c r="H163" s="37"/>
      <c r="I163" s="37"/>
      <c r="J163" s="37"/>
      <c r="K163" s="62" t="s">
        <v>136</v>
      </c>
      <c r="L163" s="87"/>
      <c r="M163" s="88">
        <f>$M$9</f>
        <v>0</v>
      </c>
      <c r="N163" s="38"/>
      <c r="O163" s="38"/>
    </row>
    <row r="164" spans="1:15" ht="10.95" customHeight="1" x14ac:dyDescent="0.2">
      <c r="A164" s="35"/>
      <c r="B164" s="36"/>
      <c r="C164" s="36"/>
      <c r="D164" s="36"/>
      <c r="E164" s="36"/>
      <c r="F164" s="36"/>
      <c r="G164" s="39"/>
      <c r="H164" s="39"/>
      <c r="I164" s="39"/>
      <c r="J164" s="39"/>
      <c r="K164" s="63" t="s">
        <v>137</v>
      </c>
      <c r="L164" s="89"/>
      <c r="M164" s="88">
        <f>SUM($M$146,$M$134,$M$123,$M$113,$M$101,$M$89,$M$77,$M$62,$M$49,$M$34,$M$22,$M$12)</f>
        <v>0</v>
      </c>
      <c r="N164" s="38"/>
      <c r="O164" s="38"/>
    </row>
    <row r="165" spans="1:15" ht="10.95" customHeight="1" x14ac:dyDescent="0.2">
      <c r="A165" s="35"/>
      <c r="B165" s="36"/>
      <c r="C165" s="36"/>
      <c r="D165" s="36"/>
      <c r="E165" s="36"/>
      <c r="F165" s="36"/>
      <c r="G165" s="39"/>
      <c r="H165" s="39"/>
      <c r="I165" s="39"/>
      <c r="J165" s="39"/>
      <c r="K165" s="63" t="s">
        <v>138</v>
      </c>
      <c r="L165" s="89"/>
      <c r="M165" s="88">
        <f>SUM($M$148,$M$136,$M$125,$M$115,$M$103,$M$91,$M$79,$M$64,$M$51,$M$36,$M$24,$M$14)</f>
        <v>0</v>
      </c>
      <c r="N165" s="38"/>
      <c r="O165" s="38"/>
    </row>
    <row r="166" spans="1:15" ht="10.95" customHeight="1" x14ac:dyDescent="0.2">
      <c r="A166" s="40"/>
      <c r="B166" s="64" t="s">
        <v>139</v>
      </c>
      <c r="C166" s="64"/>
      <c r="D166" s="64"/>
      <c r="E166" s="64"/>
      <c r="F166" s="64"/>
      <c r="G166" s="64"/>
      <c r="H166" s="64"/>
      <c r="I166" s="64"/>
      <c r="J166" s="64"/>
      <c r="K166" s="64"/>
      <c r="L166" s="90"/>
      <c r="M166" s="90"/>
      <c r="N166" s="64"/>
      <c r="O166" s="40"/>
    </row>
    <row r="167" spans="1:15" ht="10.95" customHeight="1" x14ac:dyDescent="0.2">
      <c r="B167" s="65"/>
      <c r="C167" s="65"/>
      <c r="D167" s="65"/>
      <c r="E167" s="65"/>
      <c r="F167" s="65"/>
      <c r="G167" s="65"/>
      <c r="H167" s="65"/>
      <c r="I167" s="65"/>
      <c r="J167" s="65"/>
      <c r="K167" s="65"/>
      <c r="L167" s="91"/>
      <c r="M167" s="91"/>
      <c r="N167" s="65"/>
    </row>
  </sheetData>
  <mergeCells count="23">
    <mergeCell ref="K163:L163"/>
    <mergeCell ref="K164:L164"/>
    <mergeCell ref="K165:L165"/>
    <mergeCell ref="B166:N166"/>
    <mergeCell ref="B167:N167"/>
    <mergeCell ref="K6:K7"/>
    <mergeCell ref="L6:L7"/>
    <mergeCell ref="M6:M7"/>
    <mergeCell ref="N6:N7"/>
    <mergeCell ref="O6:O7"/>
    <mergeCell ref="B2:J2"/>
    <mergeCell ref="B3:J3"/>
    <mergeCell ref="B4:J4"/>
    <mergeCell ref="A6:A7"/>
    <mergeCell ref="B6:B7"/>
    <mergeCell ref="C6:C7"/>
    <mergeCell ref="D6:D7"/>
    <mergeCell ref="E6:E7"/>
    <mergeCell ref="F6:F7"/>
    <mergeCell ref="G6:G7"/>
    <mergeCell ref="H6:H7"/>
    <mergeCell ref="I6:I7"/>
    <mergeCell ref="J6:J7"/>
  </mergeCells>
  <pageMargins left="0.39370078740157483" right="0.39370078740157483" top="0.39370078740157483" bottom="0.39370078740157483" header="0" footer="0"/>
  <pageSetup paperSize="9" pageOrder="overThenDown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autoPageBreaks="0"/>
  </sheetPr>
  <dimension ref="A1:F16"/>
  <sheetViews>
    <sheetView workbookViewId="0">
      <pane ySplit="3" topLeftCell="A4" activePane="bottomLeft" state="frozen"/>
      <selection pane="bottomLeft" activeCell="A4" sqref="A4"/>
    </sheetView>
  </sheetViews>
  <sheetFormatPr defaultColWidth="10.42578125" defaultRowHeight="11.4" customHeight="1" x14ac:dyDescent="0.2"/>
  <cols>
    <col min="1" max="1" width="57.28515625" style="1" customWidth="1"/>
    <col min="2" max="2" width="11.140625" style="1" customWidth="1"/>
    <col min="3" max="3" width="14.7109375" style="1" customWidth="1"/>
    <col min="4" max="4" width="19.140625" style="1" customWidth="1"/>
    <col min="5" max="5" width="17" style="1" customWidth="1"/>
    <col min="6" max="6" width="36.28515625" style="1" customWidth="1"/>
  </cols>
  <sheetData>
    <row r="1" spans="1:6" ht="10.95" customHeight="1" x14ac:dyDescent="0.2">
      <c r="A1" s="66" t="s">
        <v>140</v>
      </c>
      <c r="B1" s="66"/>
      <c r="C1" s="66"/>
      <c r="D1" s="66"/>
      <c r="E1" s="66"/>
      <c r="F1" s="66"/>
    </row>
    <row r="3" spans="1:6" ht="10.95" customHeight="1" x14ac:dyDescent="0.2">
      <c r="A3" s="69" t="s">
        <v>4</v>
      </c>
      <c r="B3" s="2" t="s">
        <v>7</v>
      </c>
      <c r="C3" s="2" t="s">
        <v>13</v>
      </c>
      <c r="D3" s="77" t="s">
        <v>14</v>
      </c>
      <c r="E3" s="77" t="s">
        <v>15</v>
      </c>
      <c r="F3" s="70" t="s">
        <v>16</v>
      </c>
    </row>
    <row r="4" spans="1:6" ht="10.95" customHeight="1" x14ac:dyDescent="0.2">
      <c r="A4" s="67" t="s">
        <v>26</v>
      </c>
      <c r="B4" s="41" t="s">
        <v>27</v>
      </c>
      <c r="C4" s="42">
        <v>211.72</v>
      </c>
      <c r="D4" s="45"/>
      <c r="E4" s="45">
        <f>ROUND(Р[[#This Row],[Количество]]*Р[[#This Row],[Цена за ед., руб]],2)</f>
        <v>0</v>
      </c>
      <c r="F4" s="68" t="s">
        <v>28</v>
      </c>
    </row>
    <row r="5" spans="1:6" ht="10.95" customHeight="1" x14ac:dyDescent="0.2">
      <c r="A5" s="67" t="s">
        <v>54</v>
      </c>
      <c r="B5" s="41" t="s">
        <v>27</v>
      </c>
      <c r="C5" s="44">
        <v>633.79999999999995</v>
      </c>
      <c r="D5" s="45"/>
      <c r="E5" s="45">
        <f>ROUND(Р[[#This Row],[Количество]]*Р[[#This Row],[Цена за ед., руб]],2)</f>
        <v>0</v>
      </c>
      <c r="F5" s="68" t="s">
        <v>55</v>
      </c>
    </row>
    <row r="6" spans="1:6" ht="22.95" customHeight="1" x14ac:dyDescent="0.2">
      <c r="A6" s="67" t="s">
        <v>63</v>
      </c>
      <c r="B6" s="41" t="s">
        <v>27</v>
      </c>
      <c r="C6" s="42">
        <v>448.46</v>
      </c>
      <c r="D6" s="45"/>
      <c r="E6" s="45">
        <f>ROUND(Р[[#This Row],[Количество]]*Р[[#This Row],[Цена за ед., руб]],2)</f>
        <v>0</v>
      </c>
      <c r="F6" s="68" t="s">
        <v>64</v>
      </c>
    </row>
    <row r="7" spans="1:6" ht="22.95" customHeight="1" x14ac:dyDescent="0.2">
      <c r="A7" s="67" t="s">
        <v>82</v>
      </c>
      <c r="B7" s="41" t="s">
        <v>27</v>
      </c>
      <c r="C7" s="42">
        <v>289.81</v>
      </c>
      <c r="D7" s="45"/>
      <c r="E7" s="45">
        <f>ROUND(Р[[#This Row],[Количество]]*Р[[#This Row],[Цена за ед., руб]],2)</f>
        <v>0</v>
      </c>
      <c r="F7" s="68" t="s">
        <v>83</v>
      </c>
    </row>
    <row r="8" spans="1:6" ht="22.95" customHeight="1" x14ac:dyDescent="0.2">
      <c r="A8" s="67" t="s">
        <v>87</v>
      </c>
      <c r="B8" s="41" t="s">
        <v>27</v>
      </c>
      <c r="C8" s="45">
        <v>2401.25</v>
      </c>
      <c r="D8" s="45"/>
      <c r="E8" s="45">
        <f>ROUND(Р[[#This Row],[Количество]]*Р[[#This Row],[Цена за ед., руб]],2)</f>
        <v>0</v>
      </c>
      <c r="F8" s="68" t="s">
        <v>88</v>
      </c>
    </row>
    <row r="9" spans="1:6" ht="22.95" customHeight="1" x14ac:dyDescent="0.2">
      <c r="A9" s="67" t="s">
        <v>94</v>
      </c>
      <c r="B9" s="41" t="s">
        <v>27</v>
      </c>
      <c r="C9" s="42">
        <v>152.69</v>
      </c>
      <c r="D9" s="45"/>
      <c r="E9" s="45">
        <f>ROUND(Р[[#This Row],[Количество]]*Р[[#This Row],[Цена за ед., руб]],2)</f>
        <v>0</v>
      </c>
      <c r="F9" s="68" t="s">
        <v>95</v>
      </c>
    </row>
    <row r="10" spans="1:6" ht="34.950000000000003" customHeight="1" x14ac:dyDescent="0.2">
      <c r="A10" s="67" t="s">
        <v>97</v>
      </c>
      <c r="B10" s="41" t="s">
        <v>27</v>
      </c>
      <c r="C10" s="46">
        <v>6883.1</v>
      </c>
      <c r="D10" s="45"/>
      <c r="E10" s="45">
        <f>ROUND(Р[[#This Row],[Количество]]*Р[[#This Row],[Цена за ед., руб]],2)</f>
        <v>0</v>
      </c>
      <c r="F10" s="68" t="s">
        <v>98</v>
      </c>
    </row>
    <row r="11" spans="1:6" ht="22.95" customHeight="1" x14ac:dyDescent="0.2">
      <c r="A11" s="67" t="s">
        <v>100</v>
      </c>
      <c r="B11" s="41" t="s">
        <v>27</v>
      </c>
      <c r="C11" s="44">
        <v>60.7</v>
      </c>
      <c r="D11" s="45"/>
      <c r="E11" s="45">
        <f>ROUND(Р[[#This Row],[Количество]]*Р[[#This Row],[Цена за ед., руб]],2)</f>
        <v>0</v>
      </c>
      <c r="F11" s="68" t="s">
        <v>101</v>
      </c>
    </row>
    <row r="12" spans="1:6" ht="22.95" customHeight="1" x14ac:dyDescent="0.2">
      <c r="A12" s="67" t="s">
        <v>103</v>
      </c>
      <c r="B12" s="41" t="s">
        <v>27</v>
      </c>
      <c r="C12" s="45">
        <v>1752.06</v>
      </c>
      <c r="D12" s="45"/>
      <c r="E12" s="45">
        <f>ROUND(Р[[#This Row],[Количество]]*Р[[#This Row],[Цена за ед., руб]],2)</f>
        <v>0</v>
      </c>
      <c r="F12" s="68" t="s">
        <v>104</v>
      </c>
    </row>
    <row r="13" spans="1:6" ht="22.95" customHeight="1" x14ac:dyDescent="0.2">
      <c r="A13" s="67" t="s">
        <v>108</v>
      </c>
      <c r="B13" s="41" t="s">
        <v>27</v>
      </c>
      <c r="C13" s="47">
        <v>24204</v>
      </c>
      <c r="D13" s="45"/>
      <c r="E13" s="45">
        <f>ROUND(Р[[#This Row],[Количество]]*Р[[#This Row],[Цена за ед., руб]],2)</f>
        <v>0</v>
      </c>
      <c r="F13" s="68" t="s">
        <v>109</v>
      </c>
    </row>
    <row r="14" spans="1:6" ht="22.95" customHeight="1" x14ac:dyDescent="0.2">
      <c r="A14" s="67" t="s">
        <v>111</v>
      </c>
      <c r="B14" s="41" t="s">
        <v>27</v>
      </c>
      <c r="C14" s="45">
        <v>1398.93</v>
      </c>
      <c r="D14" s="45"/>
      <c r="E14" s="45">
        <f>ROUND(Р[[#This Row],[Количество]]*Р[[#This Row],[Цена за ед., руб]],2)</f>
        <v>0</v>
      </c>
      <c r="F14" s="68" t="s">
        <v>112</v>
      </c>
    </row>
    <row r="15" spans="1:6" ht="58.95" customHeight="1" x14ac:dyDescent="0.2">
      <c r="A15" s="71" t="s">
        <v>118</v>
      </c>
      <c r="B15" s="72" t="s">
        <v>47</v>
      </c>
      <c r="C15" s="73">
        <v>15</v>
      </c>
      <c r="D15" s="78"/>
      <c r="E15" s="78">
        <f>ROUND(Р[[#This Row],[Количество]]*Р[[#This Row],[Цена за ед., руб]],2)</f>
        <v>0</v>
      </c>
      <c r="F15" s="75" t="s">
        <v>119</v>
      </c>
    </row>
    <row r="16" spans="1:6" ht="11.4" customHeight="1" x14ac:dyDescent="0.2">
      <c r="A16" s="71" t="s">
        <v>158</v>
      </c>
      <c r="B16" s="72"/>
      <c r="C16" s="76"/>
      <c r="D16" s="78"/>
      <c r="E16" s="78">
        <f>SUBTOTAL(109,Р[Сумма, руб])</f>
        <v>0</v>
      </c>
      <c r="F16" s="75"/>
    </row>
  </sheetData>
  <mergeCells count="1">
    <mergeCell ref="A1:F1"/>
  </mergeCell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  <pageSetUpPr autoPageBreaks="0"/>
  </sheetPr>
  <dimension ref="A1:I48"/>
  <sheetViews>
    <sheetView workbookViewId="0">
      <pane ySplit="3" topLeftCell="A4" activePane="bottomLeft" state="frozen"/>
      <selection pane="bottomLeft" activeCell="A4" sqref="A4"/>
    </sheetView>
  </sheetViews>
  <sheetFormatPr defaultColWidth="10.42578125" defaultRowHeight="11.4" customHeight="1" x14ac:dyDescent="0.2"/>
  <cols>
    <col min="1" max="1" width="51.7109375" style="1" customWidth="1"/>
    <col min="2" max="2" width="26.5703125" style="1" customWidth="1"/>
    <col min="3" max="3" width="28.42578125" style="1" customWidth="1"/>
    <col min="4" max="4" width="11.140625" style="1" customWidth="1"/>
    <col min="5" max="5" width="14.7109375" style="1" customWidth="1"/>
    <col min="6" max="6" width="19.140625" style="1" customWidth="1"/>
    <col min="7" max="7" width="17" style="1" customWidth="1"/>
    <col min="8" max="8" width="36.42578125" style="1" customWidth="1"/>
    <col min="9" max="9" width="23.28515625" style="1" customWidth="1"/>
  </cols>
  <sheetData>
    <row r="1" spans="1:9" ht="10.95" customHeight="1" x14ac:dyDescent="0.2">
      <c r="A1" s="66" t="s">
        <v>141</v>
      </c>
      <c r="B1" s="66"/>
      <c r="C1" s="66"/>
      <c r="D1" s="66"/>
      <c r="E1" s="66"/>
      <c r="F1" s="66"/>
      <c r="G1" s="66"/>
      <c r="H1" s="66"/>
    </row>
    <row r="2" spans="1:9" ht="10.95" customHeight="1" x14ac:dyDescent="0.2"/>
    <row r="3" spans="1:9" ht="22.95" customHeight="1" x14ac:dyDescent="0.2">
      <c r="A3" s="69" t="s">
        <v>142</v>
      </c>
      <c r="B3" s="79" t="s">
        <v>143</v>
      </c>
      <c r="C3" s="70" t="s">
        <v>144</v>
      </c>
      <c r="D3" s="2" t="s">
        <v>7</v>
      </c>
      <c r="E3" s="2" t="s">
        <v>13</v>
      </c>
      <c r="F3" s="77" t="s">
        <v>14</v>
      </c>
      <c r="G3" s="77" t="s">
        <v>15</v>
      </c>
      <c r="H3" s="2" t="s">
        <v>145</v>
      </c>
      <c r="I3" s="70" t="s">
        <v>146</v>
      </c>
    </row>
    <row r="4" spans="1:9" ht="10.95" customHeight="1" x14ac:dyDescent="0.2">
      <c r="A4" s="67" t="s">
        <v>31</v>
      </c>
      <c r="B4" s="43"/>
      <c r="C4" s="43" t="s">
        <v>120</v>
      </c>
      <c r="D4" s="41" t="s">
        <v>33</v>
      </c>
      <c r="E4" s="49">
        <v>0.156</v>
      </c>
      <c r="F4" s="45"/>
      <c r="G4" s="45">
        <f>ROUND(М[[#This Row],[Количество]]*М[[#This Row],[Цена за ед., руб]],2)</f>
        <v>0</v>
      </c>
      <c r="H4" s="43"/>
      <c r="I4" s="68" t="s">
        <v>147</v>
      </c>
    </row>
    <row r="5" spans="1:9" ht="10.95" customHeight="1" x14ac:dyDescent="0.2">
      <c r="A5" s="67" t="s">
        <v>31</v>
      </c>
      <c r="B5" s="43"/>
      <c r="C5" s="43" t="s">
        <v>121</v>
      </c>
      <c r="D5" s="41" t="s">
        <v>33</v>
      </c>
      <c r="E5" s="49">
        <v>4.0000000000000001E-3</v>
      </c>
      <c r="F5" s="45"/>
      <c r="G5" s="45">
        <f>ROUND(М[[#This Row],[Количество]]*М[[#This Row],[Цена за ед., руб]],2)</f>
        <v>0</v>
      </c>
      <c r="H5" s="43"/>
      <c r="I5" s="68" t="s">
        <v>147</v>
      </c>
    </row>
    <row r="6" spans="1:9" ht="10.95" customHeight="1" x14ac:dyDescent="0.2">
      <c r="A6" s="67" t="s">
        <v>31</v>
      </c>
      <c r="B6" s="43"/>
      <c r="C6" s="43" t="s">
        <v>122</v>
      </c>
      <c r="D6" s="41" t="s">
        <v>33</v>
      </c>
      <c r="E6" s="49">
        <v>4.5999999999999999E-2</v>
      </c>
      <c r="F6" s="45"/>
      <c r="G6" s="45">
        <f>ROUND(М[[#This Row],[Количество]]*М[[#This Row],[Цена за ед., руб]],2)</f>
        <v>0</v>
      </c>
      <c r="H6" s="43"/>
      <c r="I6" s="68" t="s">
        <v>147</v>
      </c>
    </row>
    <row r="7" spans="1:9" ht="10.95" customHeight="1" x14ac:dyDescent="0.2">
      <c r="A7" s="67" t="s">
        <v>31</v>
      </c>
      <c r="B7" s="43"/>
      <c r="C7" s="43" t="s">
        <v>32</v>
      </c>
      <c r="D7" s="41" t="s">
        <v>33</v>
      </c>
      <c r="E7" s="49">
        <v>0.188</v>
      </c>
      <c r="F7" s="45"/>
      <c r="G7" s="45">
        <f>ROUND(М[[#This Row],[Количество]]*М[[#This Row],[Цена за ед., руб]],2)</f>
        <v>0</v>
      </c>
      <c r="H7" s="43"/>
      <c r="I7" s="68" t="s">
        <v>147</v>
      </c>
    </row>
    <row r="8" spans="1:9" ht="10.95" customHeight="1" x14ac:dyDescent="0.2">
      <c r="A8" s="67" t="s">
        <v>123</v>
      </c>
      <c r="B8" s="43"/>
      <c r="C8" s="43" t="s">
        <v>124</v>
      </c>
      <c r="D8" s="41" t="s">
        <v>27</v>
      </c>
      <c r="E8" s="42">
        <v>107.42</v>
      </c>
      <c r="F8" s="45"/>
      <c r="G8" s="45">
        <f>ROUND(М[[#This Row],[Количество]]*М[[#This Row],[Цена за ед., руб]],2)</f>
        <v>0</v>
      </c>
      <c r="H8" s="43"/>
      <c r="I8" s="68" t="s">
        <v>147</v>
      </c>
    </row>
    <row r="9" spans="1:9" ht="10.95" customHeight="1" x14ac:dyDescent="0.2">
      <c r="A9" s="67" t="s">
        <v>35</v>
      </c>
      <c r="B9" s="43"/>
      <c r="C9" s="43" t="s">
        <v>113</v>
      </c>
      <c r="D9" s="41" t="s">
        <v>27</v>
      </c>
      <c r="E9" s="42">
        <v>338.69</v>
      </c>
      <c r="F9" s="45"/>
      <c r="G9" s="45">
        <f>ROUND(М[[#This Row],[Количество]]*М[[#This Row],[Цена за ед., руб]],2)</f>
        <v>0</v>
      </c>
      <c r="H9" s="43"/>
      <c r="I9" s="68" t="s">
        <v>147</v>
      </c>
    </row>
    <row r="10" spans="1:9" ht="10.95" customHeight="1" x14ac:dyDescent="0.2">
      <c r="A10" s="67" t="s">
        <v>35</v>
      </c>
      <c r="B10" s="43"/>
      <c r="C10" s="43" t="s">
        <v>125</v>
      </c>
      <c r="D10" s="41" t="s">
        <v>27</v>
      </c>
      <c r="E10" s="42">
        <v>54.11</v>
      </c>
      <c r="F10" s="45"/>
      <c r="G10" s="45">
        <f>ROUND(М[[#This Row],[Количество]]*М[[#This Row],[Цена за ед., руб]],2)</f>
        <v>0</v>
      </c>
      <c r="H10" s="43"/>
      <c r="I10" s="68" t="s">
        <v>147</v>
      </c>
    </row>
    <row r="11" spans="1:9" ht="10.95" customHeight="1" x14ac:dyDescent="0.2">
      <c r="A11" s="67" t="s">
        <v>35</v>
      </c>
      <c r="B11" s="43"/>
      <c r="C11" s="43" t="s">
        <v>126</v>
      </c>
      <c r="D11" s="41" t="s">
        <v>27</v>
      </c>
      <c r="E11" s="42">
        <v>9.56</v>
      </c>
      <c r="F11" s="45"/>
      <c r="G11" s="45">
        <f>ROUND(М[[#This Row],[Количество]]*М[[#This Row],[Цена за ед., руб]],2)</f>
        <v>0</v>
      </c>
      <c r="H11" s="43"/>
      <c r="I11" s="68" t="s">
        <v>147</v>
      </c>
    </row>
    <row r="12" spans="1:9" ht="10.95" customHeight="1" x14ac:dyDescent="0.2">
      <c r="A12" s="67" t="s">
        <v>35</v>
      </c>
      <c r="B12" s="43"/>
      <c r="C12" s="43" t="s">
        <v>127</v>
      </c>
      <c r="D12" s="41" t="s">
        <v>27</v>
      </c>
      <c r="E12" s="42">
        <v>41.28</v>
      </c>
      <c r="F12" s="45"/>
      <c r="G12" s="45">
        <f>ROUND(М[[#This Row],[Количество]]*М[[#This Row],[Цена за ед., руб]],2)</f>
        <v>0</v>
      </c>
      <c r="H12" s="43"/>
      <c r="I12" s="68" t="s">
        <v>147</v>
      </c>
    </row>
    <row r="13" spans="1:9" ht="10.95" customHeight="1" x14ac:dyDescent="0.2">
      <c r="A13" s="67" t="s">
        <v>35</v>
      </c>
      <c r="B13" s="43"/>
      <c r="C13" s="43" t="s">
        <v>84</v>
      </c>
      <c r="D13" s="41" t="s">
        <v>27</v>
      </c>
      <c r="E13" s="42">
        <v>0.32</v>
      </c>
      <c r="F13" s="45"/>
      <c r="G13" s="45">
        <f>ROUND(М[[#This Row],[Количество]]*М[[#This Row],[Цена за ед., руб]],2)</f>
        <v>0</v>
      </c>
      <c r="H13" s="43"/>
      <c r="I13" s="68" t="s">
        <v>147</v>
      </c>
    </row>
    <row r="14" spans="1:9" ht="10.95" customHeight="1" x14ac:dyDescent="0.2">
      <c r="A14" s="67" t="s">
        <v>35</v>
      </c>
      <c r="B14" s="43"/>
      <c r="C14" s="43" t="s">
        <v>36</v>
      </c>
      <c r="D14" s="41" t="s">
        <v>27</v>
      </c>
      <c r="E14" s="42">
        <v>523.24</v>
      </c>
      <c r="F14" s="45"/>
      <c r="G14" s="45">
        <f>ROUND(М[[#This Row],[Количество]]*М[[#This Row],[Цена за ед., руб]],2)</f>
        <v>0</v>
      </c>
      <c r="H14" s="43"/>
      <c r="I14" s="68" t="s">
        <v>147</v>
      </c>
    </row>
    <row r="15" spans="1:9" ht="34.950000000000003" customHeight="1" x14ac:dyDescent="0.2">
      <c r="A15" s="67" t="s">
        <v>38</v>
      </c>
      <c r="B15" s="43"/>
      <c r="C15" s="43" t="s">
        <v>128</v>
      </c>
      <c r="D15" s="41" t="s">
        <v>40</v>
      </c>
      <c r="E15" s="42">
        <v>0.08</v>
      </c>
      <c r="F15" s="45"/>
      <c r="G15" s="45">
        <f>ROUND(М[[#This Row],[Количество]]*М[[#This Row],[Цена за ед., руб]],2)</f>
        <v>0</v>
      </c>
      <c r="H15" s="43"/>
      <c r="I15" s="68" t="s">
        <v>147</v>
      </c>
    </row>
    <row r="16" spans="1:9" ht="34.950000000000003" customHeight="1" x14ac:dyDescent="0.2">
      <c r="A16" s="67" t="s">
        <v>38</v>
      </c>
      <c r="B16" s="43"/>
      <c r="C16" s="43" t="s">
        <v>39</v>
      </c>
      <c r="D16" s="41" t="s">
        <v>40</v>
      </c>
      <c r="E16" s="42">
        <v>327.91</v>
      </c>
      <c r="F16" s="45"/>
      <c r="G16" s="45">
        <f>ROUND(М[[#This Row],[Количество]]*М[[#This Row],[Цена за ед., руб]],2)</f>
        <v>0</v>
      </c>
      <c r="H16" s="43"/>
      <c r="I16" s="68" t="s">
        <v>147</v>
      </c>
    </row>
    <row r="17" spans="1:9" ht="10.95" customHeight="1" x14ac:dyDescent="0.2">
      <c r="A17" s="67" t="s">
        <v>42</v>
      </c>
      <c r="B17" s="43"/>
      <c r="C17" s="43" t="s">
        <v>43</v>
      </c>
      <c r="D17" s="41" t="s">
        <v>27</v>
      </c>
      <c r="E17" s="44">
        <v>180.4</v>
      </c>
      <c r="F17" s="45"/>
      <c r="G17" s="45">
        <f>ROUND(М[[#This Row],[Количество]]*М[[#This Row],[Цена за ед., руб]],2)</f>
        <v>0</v>
      </c>
      <c r="H17" s="43"/>
      <c r="I17" s="68" t="s">
        <v>147</v>
      </c>
    </row>
    <row r="18" spans="1:9" ht="10.95" customHeight="1" x14ac:dyDescent="0.2">
      <c r="A18" s="67" t="s">
        <v>45</v>
      </c>
      <c r="B18" s="43"/>
      <c r="C18" s="43" t="s">
        <v>56</v>
      </c>
      <c r="D18" s="41" t="s">
        <v>47</v>
      </c>
      <c r="E18" s="48">
        <v>96</v>
      </c>
      <c r="F18" s="45"/>
      <c r="G18" s="45">
        <f>ROUND(М[[#This Row],[Количество]]*М[[#This Row],[Цена за ед., руб]],2)</f>
        <v>0</v>
      </c>
      <c r="H18" s="43"/>
      <c r="I18" s="68" t="s">
        <v>147</v>
      </c>
    </row>
    <row r="19" spans="1:9" ht="10.95" customHeight="1" x14ac:dyDescent="0.2">
      <c r="A19" s="67" t="s">
        <v>45</v>
      </c>
      <c r="B19" s="43"/>
      <c r="C19" s="43" t="s">
        <v>65</v>
      </c>
      <c r="D19" s="41" t="s">
        <v>47</v>
      </c>
      <c r="E19" s="47">
        <v>2032</v>
      </c>
      <c r="F19" s="45"/>
      <c r="G19" s="45">
        <f>ROUND(М[[#This Row],[Количество]]*М[[#This Row],[Цена за ед., руб]],2)</f>
        <v>0</v>
      </c>
      <c r="H19" s="43"/>
      <c r="I19" s="68" t="s">
        <v>147</v>
      </c>
    </row>
    <row r="20" spans="1:9" ht="10.95" customHeight="1" x14ac:dyDescent="0.2">
      <c r="A20" s="67" t="s">
        <v>45</v>
      </c>
      <c r="B20" s="43"/>
      <c r="C20" s="43" t="s">
        <v>105</v>
      </c>
      <c r="D20" s="41" t="s">
        <v>47</v>
      </c>
      <c r="E20" s="47">
        <v>3768</v>
      </c>
      <c r="F20" s="45"/>
      <c r="G20" s="45">
        <f>ROUND(М[[#This Row],[Количество]]*М[[#This Row],[Цена за ед., руб]],2)</f>
        <v>0</v>
      </c>
      <c r="H20" s="43"/>
      <c r="I20" s="68" t="s">
        <v>147</v>
      </c>
    </row>
    <row r="21" spans="1:9" ht="10.95" customHeight="1" x14ac:dyDescent="0.2">
      <c r="A21" s="67" t="s">
        <v>45</v>
      </c>
      <c r="B21" s="43"/>
      <c r="C21" s="43" t="s">
        <v>89</v>
      </c>
      <c r="D21" s="41" t="s">
        <v>47</v>
      </c>
      <c r="E21" s="48">
        <v>824</v>
      </c>
      <c r="F21" s="45"/>
      <c r="G21" s="45">
        <f>ROUND(М[[#This Row],[Количество]]*М[[#This Row],[Цена за ед., руб]],2)</f>
        <v>0</v>
      </c>
      <c r="H21" s="43"/>
      <c r="I21" s="68" t="s">
        <v>147</v>
      </c>
    </row>
    <row r="22" spans="1:9" ht="10.95" customHeight="1" x14ac:dyDescent="0.2">
      <c r="A22" s="67" t="s">
        <v>45</v>
      </c>
      <c r="B22" s="43"/>
      <c r="C22" s="43" t="s">
        <v>46</v>
      </c>
      <c r="D22" s="41" t="s">
        <v>47</v>
      </c>
      <c r="E22" s="48">
        <v>58</v>
      </c>
      <c r="F22" s="45"/>
      <c r="G22" s="45">
        <f>ROUND(М[[#This Row],[Количество]]*М[[#This Row],[Цена за ед., руб]],2)</f>
        <v>0</v>
      </c>
      <c r="H22" s="43"/>
      <c r="I22" s="68" t="s">
        <v>147</v>
      </c>
    </row>
    <row r="23" spans="1:9" ht="10.95" customHeight="1" x14ac:dyDescent="0.2">
      <c r="A23" s="67" t="s">
        <v>49</v>
      </c>
      <c r="B23" s="43"/>
      <c r="C23" s="43" t="s">
        <v>50</v>
      </c>
      <c r="D23" s="41" t="s">
        <v>27</v>
      </c>
      <c r="E23" s="44">
        <v>590.6</v>
      </c>
      <c r="F23" s="45"/>
      <c r="G23" s="45">
        <f>ROUND(М[[#This Row],[Количество]]*М[[#This Row],[Цена за ед., руб]],2)</f>
        <v>0</v>
      </c>
      <c r="H23" s="43"/>
      <c r="I23" s="68" t="s">
        <v>147</v>
      </c>
    </row>
    <row r="24" spans="1:9" ht="10.95" customHeight="1" x14ac:dyDescent="0.2">
      <c r="A24" s="67" t="s">
        <v>52</v>
      </c>
      <c r="B24" s="43"/>
      <c r="C24" s="43" t="s">
        <v>53</v>
      </c>
      <c r="D24" s="41" t="s">
        <v>27</v>
      </c>
      <c r="E24" s="42">
        <v>7.64</v>
      </c>
      <c r="F24" s="45"/>
      <c r="G24" s="45">
        <f>ROUND(М[[#This Row],[Количество]]*М[[#This Row],[Цена за ед., руб]],2)</f>
        <v>0</v>
      </c>
      <c r="H24" s="43"/>
      <c r="I24" s="68" t="s">
        <v>147</v>
      </c>
    </row>
    <row r="25" spans="1:9" ht="10.95" customHeight="1" x14ac:dyDescent="0.2">
      <c r="A25" s="67" t="s">
        <v>66</v>
      </c>
      <c r="B25" s="43"/>
      <c r="C25" s="43" t="s">
        <v>67</v>
      </c>
      <c r="D25" s="41" t="s">
        <v>27</v>
      </c>
      <c r="E25" s="45">
        <v>2530.1799999999998</v>
      </c>
      <c r="F25" s="45"/>
      <c r="G25" s="45">
        <f>ROUND(М[[#This Row],[Количество]]*М[[#This Row],[Цена за ед., руб]],2)</f>
        <v>0</v>
      </c>
      <c r="H25" s="43"/>
      <c r="I25" s="68" t="s">
        <v>147</v>
      </c>
    </row>
    <row r="26" spans="1:9" ht="10.95" customHeight="1" x14ac:dyDescent="0.2">
      <c r="A26" s="67" t="s">
        <v>66</v>
      </c>
      <c r="B26" s="43"/>
      <c r="C26" s="43" t="s">
        <v>85</v>
      </c>
      <c r="D26" s="41" t="s">
        <v>27</v>
      </c>
      <c r="E26" s="45">
        <v>2976.48</v>
      </c>
      <c r="F26" s="45"/>
      <c r="G26" s="45">
        <f>ROUND(М[[#This Row],[Количество]]*М[[#This Row],[Цена за ед., руб]],2)</f>
        <v>0</v>
      </c>
      <c r="H26" s="43"/>
      <c r="I26" s="68" t="s">
        <v>147</v>
      </c>
    </row>
    <row r="27" spans="1:9" ht="10.95" customHeight="1" x14ac:dyDescent="0.2">
      <c r="A27" s="67" t="s">
        <v>66</v>
      </c>
      <c r="B27" s="43"/>
      <c r="C27" s="43" t="s">
        <v>106</v>
      </c>
      <c r="D27" s="41" t="s">
        <v>27</v>
      </c>
      <c r="E27" s="46">
        <v>15436.9</v>
      </c>
      <c r="F27" s="45"/>
      <c r="G27" s="45">
        <f>ROUND(М[[#This Row],[Количество]]*М[[#This Row],[Цена за ед., руб]],2)</f>
        <v>0</v>
      </c>
      <c r="H27" s="43"/>
      <c r="I27" s="68" t="s">
        <v>147</v>
      </c>
    </row>
    <row r="28" spans="1:9" ht="10.95" customHeight="1" x14ac:dyDescent="0.2">
      <c r="A28" s="67" t="s">
        <v>66</v>
      </c>
      <c r="B28" s="43"/>
      <c r="C28" s="43" t="s">
        <v>68</v>
      </c>
      <c r="D28" s="41" t="s">
        <v>27</v>
      </c>
      <c r="E28" s="45">
        <v>12886.59</v>
      </c>
      <c r="F28" s="45"/>
      <c r="G28" s="45">
        <f>ROUND(М[[#This Row],[Количество]]*М[[#This Row],[Цена за ед., руб]],2)</f>
        <v>0</v>
      </c>
      <c r="H28" s="43"/>
      <c r="I28" s="68" t="s">
        <v>147</v>
      </c>
    </row>
    <row r="29" spans="1:9" ht="10.95" customHeight="1" x14ac:dyDescent="0.2">
      <c r="A29" s="67" t="s">
        <v>66</v>
      </c>
      <c r="B29" s="43"/>
      <c r="C29" s="43" t="s">
        <v>70</v>
      </c>
      <c r="D29" s="41" t="s">
        <v>27</v>
      </c>
      <c r="E29" s="45">
        <v>1791.02</v>
      </c>
      <c r="F29" s="45"/>
      <c r="G29" s="45">
        <f>ROUND(М[[#This Row],[Количество]]*М[[#This Row],[Цена за ед., руб]],2)</f>
        <v>0</v>
      </c>
      <c r="H29" s="43"/>
      <c r="I29" s="68" t="s">
        <v>147</v>
      </c>
    </row>
    <row r="30" spans="1:9" ht="10.95" customHeight="1" x14ac:dyDescent="0.2">
      <c r="A30" s="67" t="s">
        <v>66</v>
      </c>
      <c r="B30" s="43"/>
      <c r="C30" s="43" t="s">
        <v>70</v>
      </c>
      <c r="D30" s="41" t="s">
        <v>27</v>
      </c>
      <c r="E30" s="42">
        <v>9.08</v>
      </c>
      <c r="F30" s="45"/>
      <c r="G30" s="45">
        <f>ROUND(М[[#This Row],[Количество]]*М[[#This Row],[Цена за ед., руб]],2)</f>
        <v>0</v>
      </c>
      <c r="H30" s="43" t="s">
        <v>129</v>
      </c>
      <c r="I30" s="68" t="s">
        <v>147</v>
      </c>
    </row>
    <row r="31" spans="1:9" ht="10.95" customHeight="1" x14ac:dyDescent="0.2">
      <c r="A31" s="67" t="s">
        <v>66</v>
      </c>
      <c r="B31" s="43"/>
      <c r="C31" s="43" t="s">
        <v>131</v>
      </c>
      <c r="D31" s="41" t="s">
        <v>27</v>
      </c>
      <c r="E31" s="42">
        <v>149.72999999999999</v>
      </c>
      <c r="F31" s="45"/>
      <c r="G31" s="45">
        <f>ROUND(М[[#This Row],[Количество]]*М[[#This Row],[Цена за ед., руб]],2)</f>
        <v>0</v>
      </c>
      <c r="H31" s="43"/>
      <c r="I31" s="68" t="s">
        <v>147</v>
      </c>
    </row>
    <row r="32" spans="1:9" ht="10.95" customHeight="1" x14ac:dyDescent="0.2">
      <c r="A32" s="67" t="s">
        <v>57</v>
      </c>
      <c r="B32" s="43"/>
      <c r="C32" s="43" t="s">
        <v>58</v>
      </c>
      <c r="D32" s="41" t="s">
        <v>27</v>
      </c>
      <c r="E32" s="42">
        <v>142.16</v>
      </c>
      <c r="F32" s="45"/>
      <c r="G32" s="45">
        <f>ROUND(М[[#This Row],[Количество]]*М[[#This Row],[Цена за ед., руб]],2)</f>
        <v>0</v>
      </c>
      <c r="H32" s="43" t="s">
        <v>59</v>
      </c>
      <c r="I32" s="68" t="s">
        <v>147</v>
      </c>
    </row>
    <row r="33" spans="1:9" ht="10.95" customHeight="1" x14ac:dyDescent="0.2">
      <c r="A33" s="67" t="s">
        <v>57</v>
      </c>
      <c r="B33" s="43"/>
      <c r="C33" s="43" t="s">
        <v>58</v>
      </c>
      <c r="D33" s="41" t="s">
        <v>27</v>
      </c>
      <c r="E33" s="42">
        <v>273.12</v>
      </c>
      <c r="F33" s="45"/>
      <c r="G33" s="45">
        <f>ROUND(М[[#This Row],[Количество]]*М[[#This Row],[Цена за ед., руб]],2)</f>
        <v>0</v>
      </c>
      <c r="H33" s="43" t="s">
        <v>90</v>
      </c>
      <c r="I33" s="68" t="s">
        <v>147</v>
      </c>
    </row>
    <row r="34" spans="1:9" ht="10.95" customHeight="1" x14ac:dyDescent="0.2">
      <c r="A34" s="67" t="s">
        <v>57</v>
      </c>
      <c r="B34" s="43"/>
      <c r="C34" s="43" t="s">
        <v>72</v>
      </c>
      <c r="D34" s="41" t="s">
        <v>27</v>
      </c>
      <c r="E34" s="42">
        <v>4.0199999999999996</v>
      </c>
      <c r="F34" s="45"/>
      <c r="G34" s="45">
        <f>ROUND(М[[#This Row],[Количество]]*М[[#This Row],[Цена за ед., руб]],2)</f>
        <v>0</v>
      </c>
      <c r="H34" s="43" t="s">
        <v>73</v>
      </c>
      <c r="I34" s="68" t="s">
        <v>147</v>
      </c>
    </row>
    <row r="35" spans="1:9" ht="10.95" customHeight="1" x14ac:dyDescent="0.2">
      <c r="A35" s="67" t="s">
        <v>57</v>
      </c>
      <c r="B35" s="43"/>
      <c r="C35" s="43" t="s">
        <v>75</v>
      </c>
      <c r="D35" s="41" t="s">
        <v>27</v>
      </c>
      <c r="E35" s="42">
        <v>25.82</v>
      </c>
      <c r="F35" s="45"/>
      <c r="G35" s="45">
        <f>ROUND(М[[#This Row],[Количество]]*М[[#This Row],[Цена за ед., руб]],2)</f>
        <v>0</v>
      </c>
      <c r="H35" s="43" t="s">
        <v>76</v>
      </c>
      <c r="I35" s="68" t="s">
        <v>147</v>
      </c>
    </row>
    <row r="36" spans="1:9" ht="10.95" customHeight="1" x14ac:dyDescent="0.2">
      <c r="A36" s="67" t="s">
        <v>57</v>
      </c>
      <c r="B36" s="43"/>
      <c r="C36" s="43" t="s">
        <v>75</v>
      </c>
      <c r="D36" s="41" t="s">
        <v>27</v>
      </c>
      <c r="E36" s="42">
        <v>11.94</v>
      </c>
      <c r="F36" s="45"/>
      <c r="G36" s="45">
        <f>ROUND(М[[#This Row],[Количество]]*М[[#This Row],[Цена за ед., руб]],2)</f>
        <v>0</v>
      </c>
      <c r="H36" s="43" t="s">
        <v>86</v>
      </c>
      <c r="I36" s="68" t="s">
        <v>147</v>
      </c>
    </row>
    <row r="37" spans="1:9" ht="10.95" customHeight="1" x14ac:dyDescent="0.2">
      <c r="A37" s="67" t="s">
        <v>57</v>
      </c>
      <c r="B37" s="43"/>
      <c r="C37" s="43" t="s">
        <v>75</v>
      </c>
      <c r="D37" s="41" t="s">
        <v>27</v>
      </c>
      <c r="E37" s="42">
        <v>1.44</v>
      </c>
      <c r="F37" s="45"/>
      <c r="G37" s="45">
        <f>ROUND(М[[#This Row],[Количество]]*М[[#This Row],[Цена за ед., руб]],2)</f>
        <v>0</v>
      </c>
      <c r="H37" s="43" t="s">
        <v>91</v>
      </c>
      <c r="I37" s="68" t="s">
        <v>147</v>
      </c>
    </row>
    <row r="38" spans="1:9" ht="10.95" customHeight="1" x14ac:dyDescent="0.2">
      <c r="A38" s="67" t="s">
        <v>57</v>
      </c>
      <c r="B38" s="43"/>
      <c r="C38" s="43" t="s">
        <v>75</v>
      </c>
      <c r="D38" s="41" t="s">
        <v>27</v>
      </c>
      <c r="E38" s="42">
        <v>12.12</v>
      </c>
      <c r="F38" s="45"/>
      <c r="G38" s="45">
        <f>ROUND(М[[#This Row],[Количество]]*М[[#This Row],[Цена за ед., руб]],2)</f>
        <v>0</v>
      </c>
      <c r="H38" s="43" t="s">
        <v>99</v>
      </c>
      <c r="I38" s="68" t="s">
        <v>147</v>
      </c>
    </row>
    <row r="39" spans="1:9" ht="10.95" customHeight="1" x14ac:dyDescent="0.2">
      <c r="A39" s="67" t="s">
        <v>57</v>
      </c>
      <c r="B39" s="43"/>
      <c r="C39" s="43" t="s">
        <v>75</v>
      </c>
      <c r="D39" s="41" t="s">
        <v>27</v>
      </c>
      <c r="E39" s="42">
        <v>5.66</v>
      </c>
      <c r="F39" s="45"/>
      <c r="G39" s="45">
        <f>ROUND(М[[#This Row],[Количество]]*М[[#This Row],[Цена за ед., руб]],2)</f>
        <v>0</v>
      </c>
      <c r="H39" s="43" t="s">
        <v>102</v>
      </c>
      <c r="I39" s="68" t="s">
        <v>147</v>
      </c>
    </row>
    <row r="40" spans="1:9" ht="10.95" customHeight="1" x14ac:dyDescent="0.2">
      <c r="A40" s="67" t="s">
        <v>57</v>
      </c>
      <c r="B40" s="43"/>
      <c r="C40" s="43" t="s">
        <v>75</v>
      </c>
      <c r="D40" s="41" t="s">
        <v>27</v>
      </c>
      <c r="E40" s="44">
        <v>119.9</v>
      </c>
      <c r="F40" s="45"/>
      <c r="G40" s="45">
        <f>ROUND(М[[#This Row],[Количество]]*М[[#This Row],[Цена за ед., руб]],2)</f>
        <v>0</v>
      </c>
      <c r="H40" s="43" t="s">
        <v>107</v>
      </c>
      <c r="I40" s="68" t="s">
        <v>147</v>
      </c>
    </row>
    <row r="41" spans="1:9" ht="10.95" customHeight="1" x14ac:dyDescent="0.2">
      <c r="A41" s="67" t="s">
        <v>57</v>
      </c>
      <c r="B41" s="43"/>
      <c r="C41" s="43" t="s">
        <v>75</v>
      </c>
      <c r="D41" s="41" t="s">
        <v>27</v>
      </c>
      <c r="E41" s="42">
        <v>9.69</v>
      </c>
      <c r="F41" s="45"/>
      <c r="G41" s="45">
        <f>ROUND(М[[#This Row],[Количество]]*М[[#This Row],[Цена за ед., руб]],2)</f>
        <v>0</v>
      </c>
      <c r="H41" s="43" t="s">
        <v>96</v>
      </c>
      <c r="I41" s="68" t="s">
        <v>147</v>
      </c>
    </row>
    <row r="42" spans="1:9" ht="10.95" customHeight="1" x14ac:dyDescent="0.2">
      <c r="A42" s="67" t="s">
        <v>57</v>
      </c>
      <c r="B42" s="43"/>
      <c r="C42" s="43" t="s">
        <v>75</v>
      </c>
      <c r="D42" s="41" t="s">
        <v>27</v>
      </c>
      <c r="E42" s="45">
        <v>1598.92</v>
      </c>
      <c r="F42" s="45"/>
      <c r="G42" s="45">
        <f>ROUND(М[[#This Row],[Количество]]*М[[#This Row],[Цена за ед., руб]],2)</f>
        <v>0</v>
      </c>
      <c r="H42" s="43" t="s">
        <v>110</v>
      </c>
      <c r="I42" s="68" t="s">
        <v>147</v>
      </c>
    </row>
    <row r="43" spans="1:9" ht="10.95" customHeight="1" x14ac:dyDescent="0.2">
      <c r="A43" s="67" t="s">
        <v>57</v>
      </c>
      <c r="B43" s="43"/>
      <c r="C43" s="43" t="s">
        <v>92</v>
      </c>
      <c r="D43" s="41" t="s">
        <v>27</v>
      </c>
      <c r="E43" s="42">
        <v>58.66</v>
      </c>
      <c r="F43" s="45"/>
      <c r="G43" s="45">
        <f>ROUND(М[[#This Row],[Количество]]*М[[#This Row],[Цена за ед., руб]],2)</f>
        <v>0</v>
      </c>
      <c r="H43" s="43" t="s">
        <v>114</v>
      </c>
      <c r="I43" s="68" t="s">
        <v>147</v>
      </c>
    </row>
    <row r="44" spans="1:9" ht="10.95" customHeight="1" x14ac:dyDescent="0.2">
      <c r="A44" s="67" t="s">
        <v>57</v>
      </c>
      <c r="B44" s="43"/>
      <c r="C44" s="43" t="s">
        <v>92</v>
      </c>
      <c r="D44" s="41" t="s">
        <v>27</v>
      </c>
      <c r="E44" s="42">
        <v>47.27</v>
      </c>
      <c r="F44" s="45"/>
      <c r="G44" s="45">
        <f>ROUND(М[[#This Row],[Количество]]*М[[#This Row],[Цена за ед., руб]],2)</f>
        <v>0</v>
      </c>
      <c r="H44" s="43" t="s">
        <v>93</v>
      </c>
      <c r="I44" s="68" t="s">
        <v>147</v>
      </c>
    </row>
    <row r="45" spans="1:9" ht="10.95" customHeight="1" x14ac:dyDescent="0.2">
      <c r="A45" s="67" t="s">
        <v>133</v>
      </c>
      <c r="B45" s="43"/>
      <c r="C45" s="43" t="s">
        <v>134</v>
      </c>
      <c r="D45" s="41" t="s">
        <v>47</v>
      </c>
      <c r="E45" s="48">
        <v>14</v>
      </c>
      <c r="F45" s="45"/>
      <c r="G45" s="45">
        <f>ROUND(М[[#This Row],[Количество]]*М[[#This Row],[Цена за ед., руб]],2)</f>
        <v>0</v>
      </c>
      <c r="H45" s="43" t="s">
        <v>135</v>
      </c>
      <c r="I45" s="68" t="s">
        <v>147</v>
      </c>
    </row>
    <row r="46" spans="1:9" ht="10.95" customHeight="1" x14ac:dyDescent="0.2">
      <c r="A46" s="67" t="s">
        <v>78</v>
      </c>
      <c r="B46" s="43"/>
      <c r="C46" s="43" t="s">
        <v>79</v>
      </c>
      <c r="D46" s="41" t="s">
        <v>27</v>
      </c>
      <c r="E46" s="42">
        <v>2.85</v>
      </c>
      <c r="F46" s="45"/>
      <c r="G46" s="45">
        <f>ROUND(М[[#This Row],[Количество]]*М[[#This Row],[Цена за ед., руб]],2)</f>
        <v>0</v>
      </c>
      <c r="H46" s="43"/>
      <c r="I46" s="68" t="s">
        <v>147</v>
      </c>
    </row>
    <row r="47" spans="1:9" ht="10.95" customHeight="1" x14ac:dyDescent="0.2">
      <c r="A47" s="71" t="s">
        <v>78</v>
      </c>
      <c r="B47" s="80"/>
      <c r="C47" s="80" t="s">
        <v>81</v>
      </c>
      <c r="D47" s="72" t="s">
        <v>27</v>
      </c>
      <c r="E47" s="81">
        <v>23.34</v>
      </c>
      <c r="F47" s="78"/>
      <c r="G47" s="78">
        <f>ROUND(М[[#This Row],[Количество]]*М[[#This Row],[Цена за ед., руб]],2)</f>
        <v>0</v>
      </c>
      <c r="H47" s="80"/>
      <c r="I47" s="75" t="s">
        <v>147</v>
      </c>
    </row>
    <row r="48" spans="1:9" ht="11.4" customHeight="1" x14ac:dyDescent="0.2">
      <c r="A48" s="71" t="s">
        <v>158</v>
      </c>
      <c r="B48" s="80"/>
      <c r="C48" s="80"/>
      <c r="D48" s="72"/>
      <c r="E48" s="74"/>
      <c r="F48" s="78"/>
      <c r="G48" s="78">
        <f>SUBTOTAL(109,М[Сумма, руб])</f>
        <v>0</v>
      </c>
      <c r="H48" s="80"/>
      <c r="I48" s="75"/>
    </row>
  </sheetData>
  <mergeCells count="1">
    <mergeCell ref="A1:H1"/>
  </mergeCells>
  <dataValidations count="1">
    <dataValidation type="list" errorStyle="information" allowBlank="1" showInputMessage="1" showErrorMessage="1" sqref="I3:I48" xr:uid="{E06B9195-F37A-4408-AE10-3D04497370DC}">
      <formula1>"Закупка подрядчик, Давальческая, Уступка"</formula1>
    </dataValidation>
  </dataValidation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  <pageSetUpPr autoPageBreaks="0"/>
  </sheetPr>
  <dimension ref="A1:B5"/>
  <sheetViews>
    <sheetView workbookViewId="0"/>
  </sheetViews>
  <sheetFormatPr defaultColWidth="10.42578125" defaultRowHeight="11.4" customHeight="1" x14ac:dyDescent="0.2"/>
  <cols>
    <col min="1" max="2" width="10.42578125" style="1" customWidth="1"/>
  </cols>
  <sheetData>
    <row r="1" spans="1:2" ht="10.95" customHeight="1" x14ac:dyDescent="0.2">
      <c r="A1" s="1" t="s">
        <v>148</v>
      </c>
      <c r="B1" s="1" t="s">
        <v>149</v>
      </c>
    </row>
    <row r="2" spans="1:2" ht="10.95" customHeight="1" x14ac:dyDescent="0.2">
      <c r="A2" s="1" t="s">
        <v>150</v>
      </c>
      <c r="B2" s="1" t="s">
        <v>151</v>
      </c>
    </row>
    <row r="3" spans="1:2" ht="10.95" customHeight="1" x14ac:dyDescent="0.2">
      <c r="A3" s="1" t="s">
        <v>152</v>
      </c>
      <c r="B3" s="1" t="s">
        <v>153</v>
      </c>
    </row>
    <row r="4" spans="1:2" ht="10.95" customHeight="1" x14ac:dyDescent="0.2">
      <c r="A4" s="1" t="s">
        <v>154</v>
      </c>
      <c r="B4" s="1" t="s">
        <v>155</v>
      </c>
    </row>
    <row r="5" spans="1:2" ht="10.95" customHeight="1" x14ac:dyDescent="0.2">
      <c r="A5" s="1" t="s">
        <v>156</v>
      </c>
      <c r="B5" s="1" t="s">
        <v>157</v>
      </c>
    </row>
  </sheetData>
  <pageMargins left="0.39370078740157483" right="0.39370078740157483" top="0.39370078740157483" bottom="0.39370078740157483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ЛСР</vt:lpstr>
      <vt:lpstr>Работы</vt:lpstr>
      <vt:lpstr>Материалы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Цветков Аркадий Александрович</cp:lastModifiedBy>
  <dcterms:modified xsi:type="dcterms:W3CDTF">2026-05-04T05:54:22Z</dcterms:modified>
</cp:coreProperties>
</file>