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znevVP\Desktop\Пакет 1 Металлические изделия Прео 8\ЛСР\"/>
    </mc:Choice>
  </mc:AlternateContent>
  <xr:revisionPtr revIDLastSave="0" documentId="13_ncr:1_{7B659A07-E842-4787-B4F4-FFDD402651C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E6" i="3" l="1"/>
  <c r="E4" i="3"/>
  <c r="G106" i="1"/>
  <c r="H106" i="1" s="1"/>
  <c r="G105" i="1"/>
  <c r="H105" i="1" s="1"/>
  <c r="J105" i="1" s="1"/>
  <c r="G104" i="1"/>
  <c r="H104" i="1" s="1"/>
  <c r="J104" i="1" s="1"/>
  <c r="G103" i="1"/>
  <c r="G102" i="1"/>
  <c r="H13" i="1"/>
  <c r="I13" i="1" a="1"/>
  <c r="I13" i="1" s="1"/>
  <c r="J13" i="1" s="1"/>
  <c r="J12" i="1" s="1"/>
  <c r="H15" i="1"/>
  <c r="L15" i="1" a="1"/>
  <c r="L15" i="1" s="1"/>
  <c r="I15" i="1" a="1"/>
  <c r="I15" i="1" s="1"/>
  <c r="J15" i="1" s="1"/>
  <c r="H16" i="1"/>
  <c r="L16" i="1" a="1"/>
  <c r="L16" i="1" s="1"/>
  <c r="I16" i="1" a="1"/>
  <c r="I16" i="1" s="1"/>
  <c r="J16" i="1" s="1"/>
  <c r="H17" i="1"/>
  <c r="L17" i="1" a="1"/>
  <c r="L17" i="1" s="1"/>
  <c r="I17" i="1" a="1"/>
  <c r="I17" i="1" s="1"/>
  <c r="J17" i="1" s="1"/>
  <c r="H18" i="1"/>
  <c r="L18" i="1" a="1"/>
  <c r="L18" i="1"/>
  <c r="I18" i="1" a="1"/>
  <c r="I18" i="1" s="1"/>
  <c r="J18" i="1" s="1"/>
  <c r="H19" i="1"/>
  <c r="L19" i="1" a="1"/>
  <c r="L19" i="1"/>
  <c r="I19" i="1" a="1"/>
  <c r="I19" i="1" s="1"/>
  <c r="H20" i="1"/>
  <c r="L20" i="1" a="1"/>
  <c r="L20" i="1"/>
  <c r="I20" i="1" a="1"/>
  <c r="I20" i="1" s="1"/>
  <c r="J20" i="1" s="1"/>
  <c r="H21" i="1"/>
  <c r="L21" i="1" a="1"/>
  <c r="L21" i="1" s="1"/>
  <c r="I21" i="1" a="1"/>
  <c r="I21" i="1" s="1"/>
  <c r="J21" i="1" s="1"/>
  <c r="H25" i="1"/>
  <c r="I25" i="1" a="1"/>
  <c r="I25" i="1" s="1"/>
  <c r="J25" i="1" s="1"/>
  <c r="J24" i="1" s="1"/>
  <c r="H27" i="1"/>
  <c r="L27" i="1" a="1"/>
  <c r="L27" i="1" s="1"/>
  <c r="I27" i="1" a="1"/>
  <c r="I27" i="1" s="1"/>
  <c r="H28" i="1"/>
  <c r="L28" i="1" a="1"/>
  <c r="L28" i="1" s="1"/>
  <c r="I28" i="1" a="1"/>
  <c r="I28" i="1" s="1"/>
  <c r="J28" i="1" s="1"/>
  <c r="H29" i="1"/>
  <c r="L29" i="1" a="1"/>
  <c r="L29" i="1" s="1"/>
  <c r="I29" i="1" a="1"/>
  <c r="I29" i="1" s="1"/>
  <c r="J29" i="1" s="1"/>
  <c r="H30" i="1"/>
  <c r="L30" i="1" a="1"/>
  <c r="L30" i="1" s="1"/>
  <c r="I30" i="1" a="1"/>
  <c r="I30" i="1" s="1"/>
  <c r="J30" i="1" s="1"/>
  <c r="H31" i="1"/>
  <c r="L31" i="1" a="1"/>
  <c r="L31" i="1" s="1"/>
  <c r="I31" i="1" a="1"/>
  <c r="I31" i="1" s="1"/>
  <c r="J31" i="1" s="1"/>
  <c r="H32" i="1"/>
  <c r="L32" i="1" a="1"/>
  <c r="L32" i="1" s="1"/>
  <c r="I32" i="1" a="1"/>
  <c r="I32" i="1" s="1"/>
  <c r="H33" i="1"/>
  <c r="L33" i="1" a="1"/>
  <c r="L33" i="1"/>
  <c r="I33" i="1" a="1"/>
  <c r="I33" i="1" s="1"/>
  <c r="J33" i="1" s="1"/>
  <c r="H34" i="1"/>
  <c r="L34" i="1" a="1"/>
  <c r="L34" i="1" s="1"/>
  <c r="I34" i="1" a="1"/>
  <c r="I34" i="1" s="1"/>
  <c r="J34" i="1" s="1"/>
  <c r="H35" i="1"/>
  <c r="L35" i="1" a="1"/>
  <c r="L35" i="1" s="1"/>
  <c r="I35" i="1" a="1"/>
  <c r="I35" i="1" s="1"/>
  <c r="H37" i="1"/>
  <c r="I37" i="1" a="1"/>
  <c r="I37" i="1" s="1"/>
  <c r="J37" i="1" s="1"/>
  <c r="J36" i="1" s="1"/>
  <c r="H39" i="1"/>
  <c r="L39" i="1" a="1"/>
  <c r="L39" i="1" s="1"/>
  <c r="I39" i="1" a="1"/>
  <c r="I39" i="1" s="1"/>
  <c r="J39" i="1" s="1"/>
  <c r="H40" i="1"/>
  <c r="L40" i="1" a="1"/>
  <c r="L40" i="1" s="1"/>
  <c r="I40" i="1" a="1"/>
  <c r="I40" i="1" s="1"/>
  <c r="J40" i="1" s="1"/>
  <c r="H41" i="1"/>
  <c r="L41" i="1" a="1"/>
  <c r="L41" i="1"/>
  <c r="I41" i="1" a="1"/>
  <c r="I41" i="1" s="1"/>
  <c r="J41" i="1" s="1"/>
  <c r="H42" i="1"/>
  <c r="L42" i="1" a="1"/>
  <c r="L42" i="1"/>
  <c r="I42" i="1" a="1"/>
  <c r="I42" i="1" s="1"/>
  <c r="J42" i="1" s="1"/>
  <c r="H43" i="1"/>
  <c r="L43" i="1" a="1"/>
  <c r="L43" i="1" s="1"/>
  <c r="I43" i="1" a="1"/>
  <c r="I43" i="1" s="1"/>
  <c r="H44" i="1"/>
  <c r="L44" i="1" a="1"/>
  <c r="L44" i="1" s="1"/>
  <c r="I44" i="1" a="1"/>
  <c r="I44" i="1" s="1"/>
  <c r="J44" i="1" s="1"/>
  <c r="H45" i="1"/>
  <c r="L45" i="1" a="1"/>
  <c r="L45" i="1"/>
  <c r="I45" i="1" a="1"/>
  <c r="I45" i="1" s="1"/>
  <c r="J45" i="1" s="1"/>
  <c r="H46" i="1"/>
  <c r="L46" i="1" a="1"/>
  <c r="L46" i="1" s="1"/>
  <c r="I46" i="1" a="1"/>
  <c r="I46" i="1" s="1"/>
  <c r="J46" i="1" s="1"/>
  <c r="H47" i="1"/>
  <c r="L47" i="1" a="1"/>
  <c r="L47" i="1" s="1"/>
  <c r="I47" i="1" a="1"/>
  <c r="I47" i="1" s="1"/>
  <c r="H48" i="1"/>
  <c r="L48" i="1" a="1"/>
  <c r="L48" i="1"/>
  <c r="I48" i="1" a="1"/>
  <c r="I48" i="1" s="1"/>
  <c r="J48" i="1" s="1"/>
  <c r="H50" i="1"/>
  <c r="I50" i="1" a="1"/>
  <c r="I50" i="1" s="1"/>
  <c r="J50" i="1" s="1"/>
  <c r="J49" i="1" s="1"/>
  <c r="H52" i="1"/>
  <c r="L52" i="1" a="1"/>
  <c r="L52" i="1"/>
  <c r="I52" i="1" a="1"/>
  <c r="I52" i="1" s="1"/>
  <c r="J52" i="1" s="1"/>
  <c r="H53" i="1"/>
  <c r="L53" i="1" a="1"/>
  <c r="L53" i="1" s="1"/>
  <c r="I53" i="1" a="1"/>
  <c r="I53" i="1" s="1"/>
  <c r="J53" i="1" s="1"/>
  <c r="H54" i="1"/>
  <c r="L54" i="1" a="1"/>
  <c r="L54" i="1" s="1"/>
  <c r="I54" i="1" a="1"/>
  <c r="I54" i="1" s="1"/>
  <c r="J54" i="1" s="1"/>
  <c r="H55" i="1"/>
  <c r="L55" i="1" a="1"/>
  <c r="L55" i="1"/>
  <c r="I55" i="1" a="1"/>
  <c r="I55" i="1" s="1"/>
  <c r="J55" i="1" s="1"/>
  <c r="H56" i="1"/>
  <c r="L56" i="1" a="1"/>
  <c r="L56" i="1"/>
  <c r="I56" i="1" a="1"/>
  <c r="I56" i="1" s="1"/>
  <c r="H57" i="1"/>
  <c r="L57" i="1" a="1"/>
  <c r="L57" i="1" s="1"/>
  <c r="I57" i="1" a="1"/>
  <c r="I57" i="1" s="1"/>
  <c r="J57" i="1" s="1"/>
  <c r="H58" i="1"/>
  <c r="L58" i="1" a="1"/>
  <c r="L58" i="1" s="1"/>
  <c r="I58" i="1" a="1"/>
  <c r="I58" i="1" s="1"/>
  <c r="J58" i="1" s="1"/>
  <c r="H59" i="1"/>
  <c r="L59" i="1" a="1"/>
  <c r="L59" i="1" s="1"/>
  <c r="I59" i="1" a="1"/>
  <c r="I59" i="1" s="1"/>
  <c r="J59" i="1" s="1"/>
  <c r="H60" i="1"/>
  <c r="L60" i="1" a="1"/>
  <c r="L60" i="1"/>
  <c r="I60" i="1" a="1"/>
  <c r="I60" i="1" s="1"/>
  <c r="H61" i="1"/>
  <c r="L61" i="1" a="1"/>
  <c r="L61" i="1"/>
  <c r="I61" i="1" a="1"/>
  <c r="I61" i="1" s="1"/>
  <c r="J61" i="1" s="1"/>
  <c r="H62" i="1"/>
  <c r="L62" i="1" a="1"/>
  <c r="L62" i="1" s="1"/>
  <c r="I62" i="1" a="1"/>
  <c r="I62" i="1" s="1"/>
  <c r="J62" i="1" s="1"/>
  <c r="H64" i="1"/>
  <c r="I64" i="1" a="1"/>
  <c r="I64" i="1" s="1"/>
  <c r="H66" i="1"/>
  <c r="L66" i="1" a="1"/>
  <c r="L66" i="1"/>
  <c r="I66" i="1" a="1"/>
  <c r="I66" i="1" s="1"/>
  <c r="H67" i="1"/>
  <c r="L67" i="1" a="1"/>
  <c r="L67" i="1" s="1"/>
  <c r="I67" i="1" a="1"/>
  <c r="I67" i="1" s="1"/>
  <c r="J67" i="1" s="1"/>
  <c r="H68" i="1"/>
  <c r="L68" i="1" a="1"/>
  <c r="L68" i="1"/>
  <c r="I68" i="1" a="1"/>
  <c r="I68" i="1" s="1"/>
  <c r="J68" i="1" s="1"/>
  <c r="H69" i="1"/>
  <c r="L69" i="1" a="1"/>
  <c r="L69" i="1"/>
  <c r="I69" i="1" a="1"/>
  <c r="I69" i="1" s="1"/>
  <c r="J69" i="1" s="1"/>
  <c r="H70" i="1"/>
  <c r="L70" i="1" a="1"/>
  <c r="L70" i="1"/>
  <c r="I70" i="1" a="1"/>
  <c r="I70" i="1" s="1"/>
  <c r="J70" i="1" s="1"/>
  <c r="H71" i="1"/>
  <c r="L71" i="1" a="1"/>
  <c r="L71" i="1"/>
  <c r="I71" i="1" a="1"/>
  <c r="I71" i="1" s="1"/>
  <c r="J71" i="1" s="1"/>
  <c r="H72" i="1"/>
  <c r="L72" i="1" a="1"/>
  <c r="L72" i="1" s="1"/>
  <c r="I72" i="1" a="1"/>
  <c r="I72" i="1" s="1"/>
  <c r="H74" i="1"/>
  <c r="I74" i="1" a="1"/>
  <c r="I74" i="1" s="1"/>
  <c r="H76" i="1"/>
  <c r="L76" i="1" a="1"/>
  <c r="L76" i="1"/>
  <c r="I76" i="1" a="1"/>
  <c r="I76" i="1" s="1"/>
  <c r="J76" i="1" s="1"/>
  <c r="H77" i="1"/>
  <c r="L77" i="1" a="1"/>
  <c r="L77" i="1" s="1"/>
  <c r="I77" i="1" a="1"/>
  <c r="I77" i="1" s="1"/>
  <c r="J77" i="1" s="1"/>
  <c r="H78" i="1"/>
  <c r="L78" i="1" a="1"/>
  <c r="L78" i="1"/>
  <c r="I78" i="1" a="1"/>
  <c r="I78" i="1" s="1"/>
  <c r="H79" i="1"/>
  <c r="L79" i="1" a="1"/>
  <c r="L79" i="1"/>
  <c r="I79" i="1" a="1"/>
  <c r="I79" i="1" s="1"/>
  <c r="J79" i="1" s="1"/>
  <c r="H80" i="1"/>
  <c r="L80" i="1" a="1"/>
  <c r="L80" i="1"/>
  <c r="I80" i="1" a="1"/>
  <c r="I80" i="1" s="1"/>
  <c r="J80" i="1" s="1"/>
  <c r="H81" i="1"/>
  <c r="L81" i="1" a="1"/>
  <c r="L81" i="1"/>
  <c r="I81" i="1" a="1"/>
  <c r="I81" i="1" s="1"/>
  <c r="J81" i="1" s="1"/>
  <c r="H82" i="1"/>
  <c r="L82" i="1" a="1"/>
  <c r="L82" i="1" s="1"/>
  <c r="I82" i="1" a="1"/>
  <c r="I82" i="1" s="1"/>
  <c r="H83" i="1"/>
  <c r="L83" i="1" a="1"/>
  <c r="L83" i="1"/>
  <c r="I83" i="1" a="1"/>
  <c r="I83" i="1" s="1"/>
  <c r="H84" i="1"/>
  <c r="L84" i="1" a="1"/>
  <c r="L84" i="1"/>
  <c r="I84" i="1" a="1"/>
  <c r="I84" i="1" s="1"/>
  <c r="J84" i="1" s="1"/>
  <c r="H86" i="1"/>
  <c r="I86" i="1" a="1"/>
  <c r="I86" i="1" s="1"/>
  <c r="H88" i="1"/>
  <c r="L88" i="1" a="1"/>
  <c r="L88" i="1"/>
  <c r="I88" i="1" a="1"/>
  <c r="I88" i="1" s="1"/>
  <c r="H89" i="1"/>
  <c r="L89" i="1" a="1"/>
  <c r="L89" i="1" s="1"/>
  <c r="I89" i="1" a="1"/>
  <c r="I89" i="1" s="1"/>
  <c r="J89" i="1" s="1"/>
  <c r="H90" i="1"/>
  <c r="L90" i="1" a="1"/>
  <c r="L90" i="1" s="1"/>
  <c r="I90" i="1" a="1"/>
  <c r="I90" i="1" s="1"/>
  <c r="J90" i="1" s="1"/>
  <c r="H91" i="1"/>
  <c r="L91" i="1" a="1"/>
  <c r="L91" i="1" s="1"/>
  <c r="I91" i="1" a="1"/>
  <c r="I91" i="1" s="1"/>
  <c r="H92" i="1"/>
  <c r="L92" i="1" a="1"/>
  <c r="L92" i="1" s="1"/>
  <c r="I92" i="1" a="1"/>
  <c r="I92" i="1" s="1"/>
  <c r="J92" i="1" s="1"/>
  <c r="H93" i="1"/>
  <c r="L93" i="1" a="1"/>
  <c r="L93" i="1"/>
  <c r="I93" i="1" a="1"/>
  <c r="I93" i="1" s="1"/>
  <c r="J93" i="1" s="1"/>
  <c r="H94" i="1"/>
  <c r="L94" i="1" a="1"/>
  <c r="L94" i="1"/>
  <c r="I94" i="1" a="1"/>
  <c r="I94" i="1" s="1"/>
  <c r="H95" i="1"/>
  <c r="L95" i="1" a="1"/>
  <c r="L95" i="1"/>
  <c r="I95" i="1" a="1"/>
  <c r="I95" i="1" s="1"/>
  <c r="J95" i="1" s="1"/>
  <c r="H96" i="1"/>
  <c r="L96" i="1" a="1"/>
  <c r="L96" i="1"/>
  <c r="I96" i="1" a="1"/>
  <c r="I96" i="1" s="1"/>
  <c r="J96" i="1" s="1"/>
  <c r="H100" i="1"/>
  <c r="I100" i="1" a="1"/>
  <c r="I100" i="1" s="1"/>
  <c r="H102" i="1"/>
  <c r="L102" i="1" a="1"/>
  <c r="L102" i="1"/>
  <c r="I102" i="1" a="1"/>
  <c r="I102" i="1" s="1"/>
  <c r="H103" i="1"/>
  <c r="L103" i="1" a="1"/>
  <c r="L103" i="1"/>
  <c r="I103" i="1" a="1"/>
  <c r="I103" i="1" s="1"/>
  <c r="L104" i="1" a="1"/>
  <c r="L104" i="1"/>
  <c r="I104" i="1" a="1"/>
  <c r="I104" i="1" s="1"/>
  <c r="L105" i="1" a="1"/>
  <c r="L105" i="1"/>
  <c r="I105" i="1" a="1"/>
  <c r="I105" i="1" s="1"/>
  <c r="L106" i="1" a="1"/>
  <c r="L106" i="1" s="1"/>
  <c r="I106" i="1" a="1"/>
  <c r="I106" i="1" s="1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11" i="2"/>
  <c r="E10" i="2"/>
  <c r="E9" i="2"/>
  <c r="E8" i="2"/>
  <c r="E7" i="2"/>
  <c r="E6" i="2"/>
  <c r="E5" i="2"/>
  <c r="E4" i="2"/>
  <c r="J100" i="1" l="1"/>
  <c r="J99" i="1" s="1"/>
  <c r="G27" i="3"/>
  <c r="J35" i="1"/>
  <c r="J32" i="1"/>
  <c r="J47" i="1"/>
  <c r="J27" i="1"/>
  <c r="J82" i="1"/>
  <c r="J103" i="1"/>
  <c r="J106" i="1"/>
  <c r="J66" i="1"/>
  <c r="J102" i="1"/>
  <c r="J94" i="1"/>
  <c r="J83" i="1"/>
  <c r="J72" i="1"/>
  <c r="J78" i="1"/>
  <c r="J75" i="1" s="1"/>
  <c r="J43" i="1"/>
  <c r="J38" i="1" s="1"/>
  <c r="J19" i="1"/>
  <c r="J14" i="1" s="1"/>
  <c r="J11" i="1" s="1"/>
  <c r="J10" i="1" s="1"/>
  <c r="J64" i="1"/>
  <c r="J63" i="1" s="1"/>
  <c r="J74" i="1"/>
  <c r="J73" i="1" s="1"/>
  <c r="E12" i="2"/>
  <c r="J86" i="1"/>
  <c r="J85" i="1" s="1"/>
  <c r="J108" i="1" s="1"/>
  <c r="J91" i="1"/>
  <c r="J60" i="1"/>
  <c r="J56" i="1"/>
  <c r="J88" i="1"/>
  <c r="E13" i="2" l="1"/>
  <c r="J26" i="1"/>
  <c r="J101" i="1"/>
  <c r="J65" i="1"/>
  <c r="J87" i="1"/>
  <c r="J51" i="1"/>
  <c r="J23" i="1"/>
  <c r="J22" i="1" s="1"/>
  <c r="J109" i="1" l="1"/>
  <c r="G28" i="3" s="1"/>
  <c r="J98" i="1"/>
  <c r="J97" i="1" s="1"/>
  <c r="J9" i="1" s="1"/>
  <c r="J107" i="1" s="1"/>
</calcChain>
</file>

<file path=xl/sharedStrings.xml><?xml version="1.0" encoding="utf-8"?>
<sst xmlns="http://schemas.openxmlformats.org/spreadsheetml/2006/main" count="515" uniqueCount="126">
  <si>
    <t>Объект: «Жилой район «Преображенский» в г. Тюмени. Квартал 8. Участок 72:17:1313004:1005. Многоэтажный жилой дом с нежилыми помещениями ГП-72.215» Секция 1</t>
  </si>
  <si>
    <t>Ведомость объемов работ и расхода материалов по работе: Изготовление и монтаж металлических изделий и сопутствующим работам (согласно проекту шифр АС,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</si>
  <si>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</si>
  <si>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</si>
  <si>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</si>
  <si>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</si>
  <si>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</si>
  <si>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</si>
  <si>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</si>
  <si>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</si>
  <si>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</si>
  <si>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</si>
  <si>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</si>
  <si>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</si>
  <si>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06</t>
  </si>
  <si>
    <t>Металлические изделия</t>
  </si>
  <si>
    <t>06.01</t>
  </si>
  <si>
    <t>Изготовление и монтаж металлических изделий</t>
  </si>
  <si>
    <t>06.01.01</t>
  </si>
  <si>
    <t>Стремянки</t>
  </si>
  <si>
    <t>06.01.01.00</t>
  </si>
  <si>
    <t>Работы:</t>
  </si>
  <si>
    <t>Изготовление, монтаж и окраска металлических стремянок С-1</t>
  </si>
  <si>
    <t>кг</t>
  </si>
  <si>
    <t>Выход на кровлю</t>
  </si>
  <si>
    <t>Материалы:</t>
  </si>
  <si>
    <t>1</t>
  </si>
  <si>
    <t>Арматура</t>
  </si>
  <si>
    <t>А500С Ø18 ГОСТ 34028-2016</t>
  </si>
  <si>
    <t>т</t>
  </si>
  <si>
    <t>2</t>
  </si>
  <si>
    <t>Уголок стальной (кг.)</t>
  </si>
  <si>
    <t>75х75х5</t>
  </si>
  <si>
    <t>3</t>
  </si>
  <si>
    <t>Краска (л.)</t>
  </si>
  <si>
    <t>стирол-акриловая водная дисперсия полуматовая RAL7043</t>
  </si>
  <si>
    <t>л (дм3)</t>
  </si>
  <si>
    <t>4</t>
  </si>
  <si>
    <t>Грунтовка (кг.)</t>
  </si>
  <si>
    <t>алкидная ГФ-021</t>
  </si>
  <si>
    <t>5</t>
  </si>
  <si>
    <t>Болт (шт)</t>
  </si>
  <si>
    <t>БСР М10х100</t>
  </si>
  <si>
    <t>шт</t>
  </si>
  <si>
    <t>6</t>
  </si>
  <si>
    <t>Электроды</t>
  </si>
  <si>
    <t>Э42 Ø4мм</t>
  </si>
  <si>
    <t>7</t>
  </si>
  <si>
    <t>Пластина (кг.)</t>
  </si>
  <si>
    <t>стальная 100х100х6</t>
  </si>
  <si>
    <t>06.01.02</t>
  </si>
  <si>
    <t>Ограждения</t>
  </si>
  <si>
    <t>06.01.02.00</t>
  </si>
  <si>
    <t>Изготовление, монтаж и окраска металлических ограждений (10-20кг)</t>
  </si>
  <si>
    <t>ОГ-5</t>
  </si>
  <si>
    <t>Труба профильная (кг.)</t>
  </si>
  <si>
    <t>10х10х1,5</t>
  </si>
  <si>
    <t>40х20х2</t>
  </si>
  <si>
    <t>15х15х1,5</t>
  </si>
  <si>
    <t>8</t>
  </si>
  <si>
    <t>Лист стальной (кг.)</t>
  </si>
  <si>
    <t>г/к 5мм ст3сп</t>
  </si>
  <si>
    <t>120х120х5</t>
  </si>
  <si>
    <t>9</t>
  </si>
  <si>
    <t>Труба электросварная (кг.)</t>
  </si>
  <si>
    <t>стальная Дн-51х1,5</t>
  </si>
  <si>
    <t>Изготовление, монтаж и окраска металлических ограждений (20-30кг)</t>
  </si>
  <si>
    <t>ОГ-2, ОГ-4</t>
  </si>
  <si>
    <t>40х40х2</t>
  </si>
  <si>
    <t>г/к 4мм ст3сп</t>
  </si>
  <si>
    <t>50х50х4</t>
  </si>
  <si>
    <t>10</t>
  </si>
  <si>
    <t>Изготовление, монтаж и окраска металлических ограждений (30-40кг)</t>
  </si>
  <si>
    <t>ОГ-1, ОГ-3</t>
  </si>
  <si>
    <t>11</t>
  </si>
  <si>
    <t>Изготовление, монтаж и окраска металлических ограждений (50-60кг)</t>
  </si>
  <si>
    <t>ОГ-1.5/1.5*, ОГ-1.6/1.6*</t>
  </si>
  <si>
    <t>стирол-акриловая водная дисперсия полуматовая RAL9004</t>
  </si>
  <si>
    <t>20х20х2</t>
  </si>
  <si>
    <t>40х20х3</t>
  </si>
  <si>
    <t>140х60х4</t>
  </si>
  <si>
    <t>Изготовление, монтаж и окраска металлических ограждений (80-90кг)</t>
  </si>
  <si>
    <t>ОГ-1.7/1.7*, ОГ-1.8/1.8*, ОГ-1.9/1.9*, ОГ-10.1/10.1*</t>
  </si>
  <si>
    <t>с шестигранной головкой М10х50</t>
  </si>
  <si>
    <t>г/к 6мм ст3сп</t>
  </si>
  <si>
    <t>120х120х6</t>
  </si>
  <si>
    <t>Изготовление, монтаж и окраска металлических ограждений (более 100кг)</t>
  </si>
  <si>
    <t>ОГ-1.3, ОГ-1.4</t>
  </si>
  <si>
    <t>г/к 8мм ст3сп</t>
  </si>
  <si>
    <t>140х140х8</t>
  </si>
  <si>
    <t>06.01.03</t>
  </si>
  <si>
    <t>Приямок</t>
  </si>
  <si>
    <t>06.01.03.00</t>
  </si>
  <si>
    <t>Монтаж решетки (сборное изделие)</t>
  </si>
  <si>
    <t>в подвале</t>
  </si>
  <si>
    <t>А500С Ø10 ГОСТ 34028-2016</t>
  </si>
  <si>
    <t>50х50х5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</si>
  <si>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</si>
  <si>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</si>
  <si>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</si>
  <si>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</si>
  <si>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</si>
  <si>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</si>
  <si>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</si>
  <si>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</si>
  <si>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</si>
  <si>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</si>
  <si>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</si>
  <si>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</si>
  <si>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</si>
  <si>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</si>
  <si>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ГП-72.215.01.06.01 Секция 1_Изготовление и монтаж металлических изделий №1</t>
  </si>
  <si>
    <t>b30b5545-486c-11f1-9618-db392af1e994</t>
  </si>
  <si>
    <t>Итог</t>
  </si>
  <si>
    <t>Локальный сметный расчет (ЛСР) №1</t>
  </si>
  <si>
    <t>Примечания</t>
  </si>
  <si>
    <t>-</t>
  </si>
  <si>
    <t>Все сварные швы ошлифовать и окрасить</t>
  </si>
  <si>
    <t>Отрезные, шлифовальные диски, ацетон (для обезжиривания) и прочие расходные материалы учитывать в стоимости работ</t>
  </si>
  <si>
    <t>Окраска в 2 слоя</t>
  </si>
  <si>
    <t xml:space="preserve">Стоимость строительно-монтажных работ (СМР) учитывает прямые затрыты, накладные расходы, сметную прибыль,затраты на все второстепенные, сопутсвующие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 вывоз мусора; налоги и иные издержки Подрядчика. </t>
  </si>
  <si>
    <t>Стоимость материалов учитывает стоимость доставки до объекта строительства</t>
  </si>
  <si>
    <t>Норма расхода металла 1,015</t>
  </si>
  <si>
    <t>Цвет краски предварительно согласовать с заказчиком</t>
  </si>
  <si>
    <t>Итого:</t>
  </si>
  <si>
    <t>Проверка: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</si>
</sst>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#,##0.0"/>
  </numFmts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theme="1"/>
      <name val="Arial"/>
      <family val="2"/>
      <charset val="204"/>
    </font>
    <font>
      <b/>
      <sz val="8"/>
      <name val="Arial"/>
      <family val="2"/>
      <charset val="204"/>
    </font>
    <font>
      <sz val="11"/>
      <color theme="1"/>
      <name val="Calibri"/>
      <family val="2"/>
      <scheme val="minor"/>
    </font>
    <font>
      <sz val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93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6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166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/>
    <xf numFmtId="4" fontId="3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0" fillId="0" borderId="2" xfId="0" applyNumberFormat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0" fontId="5" fillId="0" borderId="0" xfId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2" borderId="5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 wrapText="1"/>
    </xf>
    <xf numFmtId="0" fontId="0" fillId="6" borderId="5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3" fillId="6" borderId="7" xfId="0" applyFont="1" applyFill="1" applyBorder="1" applyAlignment="1">
      <alignment horizontal="right" vertical="center"/>
    </xf>
    <xf numFmtId="0" fontId="0" fillId="6" borderId="5" xfId="0" applyFill="1" applyBorder="1" applyAlignment="1">
      <alignment horizontal="right" vertical="center"/>
    </xf>
    <xf numFmtId="0" fontId="4" fillId="6" borderId="7" xfId="0" applyFont="1" applyFill="1" applyBorder="1" applyAlignment="1">
      <alignment horizontal="right" vertical="center"/>
    </xf>
    <xf numFmtId="0" fontId="0" fillId="7" borderId="5" xfId="0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4" fontId="3" fillId="0" borderId="8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 vertical="center"/>
    </xf>
    <xf numFmtId="0" fontId="4" fillId="6" borderId="7" xfId="0" applyFont="1" applyFill="1" applyBorder="1" applyAlignment="1">
      <alignment horizontal="right" vertical="center"/>
    </xf>
    <xf numFmtId="4" fontId="4" fillId="6" borderId="7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 vertical="center" wrapText="1"/>
    </xf>
  </cellXfs>
  <cellStyles count="3">
    <cellStyle name="Обычный" xfId="0" builtinId="0"/>
    <cellStyle name="Обычный 2 2 5" xfId="1" xr:uid="{C293EE23-317E-4444-A83B-19EFC4C47AE2}"/>
    <cellStyle name="Обычный 3 2 2 2" xfId="2" xr:uid="{06581DED-B182-46F0-985D-9E67F42F247D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border diagonalUp="0" diagonalDown="0" outline="0">
        <left/>
        <right/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right style="thin">
          <color rgb="FF000000"/>
        </right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630DC7-ED30-4DC9-AFE9-B48F94E2EB56}" name="Р" displayName="Р" ref="A3:F12" totalsRowCount="1" headerRowDxfId="24" headerRowBorderDxfId="23" tableBorderDxfId="22" totalsRowBorderDxfId="21">
  <autoFilter ref="A3:F11" xr:uid="{CC630DC7-ED30-4DC9-AFE9-B48F94E2EB56}"/>
  <tableColumns count="6">
    <tableColumn id="1" xr3:uid="{F9AA780A-B292-4BEC-85EB-06760BFB0AAA}" name="Наименование" totalsRowLabel="Итог" dataDxfId="20" totalsRowDxfId="14"/>
    <tableColumn id="2" xr3:uid="{4869C520-F673-4E5B-BC7C-6F4AA4119C3D}" name="Ед. изм." dataDxfId="19" totalsRowDxfId="13"/>
    <tableColumn id="3" xr3:uid="{BA4D2567-06EC-424F-A869-AC8F26557592}" name="Количество" dataDxfId="18" totalsRowDxfId="12"/>
    <tableColumn id="4" xr3:uid="{C4C219F0-D2D3-497D-B84E-727C3C0213ED}" name="Цена за ед., руб" totalsRowLabel="Итого:" dataDxfId="17" totalsRowDxfId="11"/>
    <tableColumn id="5" xr3:uid="{9752EFB7-A9EC-45E0-B6F9-CBA801A86BC4}" name="Сумма, руб" totalsRowFunction="sum" dataDxfId="16" totalsRowDxfId="10">
      <calculatedColumnFormula>ROUND(Р[[#This Row],[Количество]]*Р[[#This Row],[Цена за ед., руб]],2)</calculatedColumnFormula>
    </tableColumn>
    <tableColumn id="6" xr3:uid="{37BC400D-0731-4CBA-8F01-BC486348DC1B}" name="Примечание" dataDxfId="15" totalsRowDxfId="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61D099B-32D1-4D01-8266-64905DA6CF2F}" name="М" displayName="М" ref="A3:I27" totalsRowCount="1" headerRowDxfId="37" headerRowBorderDxfId="36" tableBorderDxfId="35" totalsRowBorderDxfId="34">
  <autoFilter ref="A3:I26" xr:uid="{961D099B-32D1-4D01-8266-64905DA6CF2F}"/>
  <tableColumns count="9">
    <tableColumn id="1" xr3:uid="{F3F45A96-3A27-46AB-A525-5C176640B150}" name="Наим." totalsRowLabel="Итог" dataDxfId="33" totalsRowDxfId="8"/>
    <tableColumn id="2" xr3:uid="{C513DBD7-8BDF-4D2C-924A-8265748C2754}" name="Артикул, марка, произв." dataDxfId="32" totalsRowDxfId="7"/>
    <tableColumn id="3" xr3:uid="{4DA004C3-7491-49B7-A057-7A4FF9465A8B}" name="Хар-ка" dataDxfId="31" totalsRowDxfId="6"/>
    <tableColumn id="4" xr3:uid="{772D0055-6A85-4374-91EB-FD1109D31E26}" name="Ед. изм." dataDxfId="30" totalsRowDxfId="5"/>
    <tableColumn id="5" xr3:uid="{97C47AB8-9077-4CB6-AA2C-454C4502EFF2}" name="Количество" dataDxfId="29" totalsRowDxfId="4"/>
    <tableColumn id="6" xr3:uid="{9D080BD1-A4EB-4005-9F76-CA5287F060F2}" name="Цена за ед., руб" totalsRowLabel="Итого:" dataDxfId="28" totalsRowDxfId="3"/>
    <tableColumn id="7" xr3:uid="{7EC3EDB6-EAE6-466D-8BFB-09DF38AE3A85}" name="Сумма, руб" totalsRowFunction="sum" dataDxfId="27" totalsRowDxfId="2">
      <calculatedColumnFormula>ROUND(М[[#This Row],[Количество]]*М[[#This Row],[Цена за ед., руб]],2)</calculatedColumnFormula>
    </tableColumn>
    <tableColumn id="8" xr3:uid="{C7448414-C45F-4907-9EF1-A392794B13B9}" name="Прим." dataDxfId="26" totalsRowDxfId="1"/>
    <tableColumn id="9" xr3:uid="{6186A4C6-8009-4DEF-8E89-6E63A90BCD03}" name="Форма закупа" dataDxfId="25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P120"/>
  <sheetViews>
    <sheetView tabSelected="1" workbookViewId="0">
      <pane ySplit="7" topLeftCell="A83" activePane="bottomLeft" state="frozen"/>
      <selection pane="bottomLeft" activeCell="G103" sqref="G103"/>
    </sheetView>
  </sheetViews>
  <sheetFormatPr defaultColWidth="10.5" defaultRowHeight="11.45" customHeight="1" outlineLevelRow="4" x14ac:dyDescent="0.2"/>
  <cols>
    <col min="1" max="1" width="11.33203125" style="57" customWidth="1"/>
    <col min="2" max="2" width="36" style="57" customWidth="1"/>
    <col min="3" max="3" width="15.83203125" style="57" customWidth="1"/>
    <col min="4" max="4" width="17" style="57" customWidth="1"/>
    <col min="5" max="5" width="10" style="57" customWidth="1"/>
    <col min="6" max="6" width="9.6640625" style="57" customWidth="1"/>
    <col min="7" max="7" width="10.5" style="57" customWidth="1"/>
    <col min="8" max="8" width="14.6640625" style="57" customWidth="1"/>
    <col min="9" max="9" width="16" style="57" customWidth="1"/>
    <col min="10" max="10" width="17" style="57" customWidth="1"/>
    <col min="11" max="11" width="31.33203125" style="57" customWidth="1"/>
    <col min="12" max="12" width="23.33203125" style="57" customWidth="1"/>
    <col min="13" max="16384" width="10.5" style="58"/>
  </cols>
  <sheetData>
    <row r="1" spans="1:12" ht="11.1" customHeight="1" x14ac:dyDescent="0.2"/>
    <row r="2" spans="1:12" ht="11.1" customHeight="1" x14ac:dyDescent="0.2">
      <c r="B2" s="84" t="s">
        <v>114</v>
      </c>
      <c r="C2" s="84"/>
      <c r="D2" s="84"/>
      <c r="E2" s="84"/>
      <c r="F2" s="84"/>
      <c r="G2" s="84"/>
      <c r="H2" s="84"/>
      <c r="I2" s="84"/>
      <c r="J2" s="84"/>
    </row>
    <row r="3" spans="1:12" ht="23.1" customHeight="1" x14ac:dyDescent="0.2">
      <c r="B3" s="85" t="s">
        <v>0</v>
      </c>
      <c r="C3" s="85"/>
      <c r="D3" s="85"/>
      <c r="E3" s="85"/>
      <c r="F3" s="85"/>
      <c r="G3" s="85"/>
      <c r="H3" s="85"/>
      <c r="I3" s="85"/>
      <c r="J3" s="85"/>
    </row>
    <row r="4" spans="1:12" ht="23.1" customHeight="1" x14ac:dyDescent="0.2">
      <c r="B4" s="85" t="s">
        <v>1</v>
      </c>
      <c r="C4" s="85"/>
      <c r="D4" s="85"/>
      <c r="E4" s="85"/>
      <c r="F4" s="85"/>
      <c r="G4" s="85"/>
      <c r="H4" s="85"/>
      <c r="I4" s="85"/>
      <c r="J4" s="85"/>
    </row>
    <row r="5" spans="1:12" ht="11.1" customHeight="1" x14ac:dyDescent="0.2"/>
    <row r="6" spans="1:12" ht="11.1" customHeight="1" x14ac:dyDescent="0.2">
      <c r="A6" s="76" t="s">
        <v>2</v>
      </c>
      <c r="B6" s="76" t="s">
        <v>3</v>
      </c>
      <c r="C6" s="86" t="s">
        <v>4</v>
      </c>
      <c r="D6" s="88" t="s">
        <v>5</v>
      </c>
      <c r="E6" s="76" t="s">
        <v>6</v>
      </c>
      <c r="F6" s="78" t="s">
        <v>7</v>
      </c>
      <c r="G6" s="90" t="s">
        <v>8</v>
      </c>
      <c r="H6" s="76" t="s">
        <v>9</v>
      </c>
      <c r="I6" s="78" t="s">
        <v>10</v>
      </c>
      <c r="J6" s="78" t="s">
        <v>11</v>
      </c>
      <c r="K6" s="76" t="s">
        <v>12</v>
      </c>
      <c r="L6" s="78" t="s">
        <v>13</v>
      </c>
    </row>
    <row r="7" spans="1:12" ht="11.1" customHeight="1" x14ac:dyDescent="0.2">
      <c r="A7" s="77"/>
      <c r="B7" s="77"/>
      <c r="C7" s="87"/>
      <c r="D7" s="89"/>
      <c r="E7" s="77"/>
      <c r="F7" s="79"/>
      <c r="G7" s="91"/>
      <c r="H7" s="77"/>
      <c r="I7" s="79"/>
      <c r="J7" s="79"/>
      <c r="K7" s="77"/>
      <c r="L7" s="79"/>
    </row>
    <row r="8" spans="1:12" ht="11.1" customHeight="1" x14ac:dyDescent="0.2">
      <c r="A8" s="4" t="s">
        <v>14</v>
      </c>
      <c r="B8" s="59" t="s">
        <v>15</v>
      </c>
      <c r="C8" s="3"/>
      <c r="D8" s="3"/>
      <c r="E8" s="4"/>
      <c r="F8" s="5"/>
      <c r="G8" s="5"/>
      <c r="H8" s="5"/>
      <c r="I8" s="47"/>
      <c r="J8" s="47"/>
      <c r="K8" s="3"/>
      <c r="L8" s="3"/>
    </row>
    <row r="9" spans="1:12" ht="23.1" customHeight="1" outlineLevel="1" x14ac:dyDescent="0.2">
      <c r="A9" s="7" t="s">
        <v>16</v>
      </c>
      <c r="B9" s="60" t="s">
        <v>17</v>
      </c>
      <c r="C9" s="6"/>
      <c r="D9" s="6"/>
      <c r="E9" s="7"/>
      <c r="F9" s="8"/>
      <c r="G9" s="8"/>
      <c r="H9" s="8"/>
      <c r="I9" s="48"/>
      <c r="J9" s="48">
        <f>SUM($J$97,$J$22,$J$10)</f>
        <v>0</v>
      </c>
      <c r="K9" s="6"/>
      <c r="L9" s="6"/>
    </row>
    <row r="10" spans="1:12" ht="11.1" customHeight="1" outlineLevel="2" x14ac:dyDescent="0.2">
      <c r="A10" s="10" t="s">
        <v>18</v>
      </c>
      <c r="B10" s="61" t="s">
        <v>19</v>
      </c>
      <c r="C10" s="9"/>
      <c r="D10" s="9"/>
      <c r="E10" s="10"/>
      <c r="F10" s="11"/>
      <c r="G10" s="12"/>
      <c r="H10" s="12"/>
      <c r="I10" s="49"/>
      <c r="J10" s="49">
        <f>SUM($J$11)</f>
        <v>0</v>
      </c>
      <c r="K10" s="13"/>
      <c r="L10" s="13"/>
    </row>
    <row r="11" spans="1:12" ht="11.1" customHeight="1" outlineLevel="3" x14ac:dyDescent="0.2">
      <c r="A11" s="10" t="s">
        <v>20</v>
      </c>
      <c r="B11" s="61" t="s">
        <v>19</v>
      </c>
      <c r="C11" s="9"/>
      <c r="D11" s="9"/>
      <c r="E11" s="10"/>
      <c r="F11" s="11"/>
      <c r="G11" s="12"/>
      <c r="H11" s="12"/>
      <c r="I11" s="49"/>
      <c r="J11" s="49">
        <f>SUM($J$14,$J$12)</f>
        <v>0</v>
      </c>
      <c r="K11" s="13"/>
      <c r="L11" s="13"/>
    </row>
    <row r="12" spans="1:12" ht="11.1" customHeight="1" outlineLevel="4" x14ac:dyDescent="0.2">
      <c r="A12" s="62"/>
      <c r="B12" s="61" t="s">
        <v>21</v>
      </c>
      <c r="C12" s="14"/>
      <c r="D12" s="14"/>
      <c r="E12" s="14"/>
      <c r="F12" s="14"/>
      <c r="G12" s="14"/>
      <c r="H12" s="14"/>
      <c r="I12" s="50"/>
      <c r="J12" s="51">
        <f>SUM($J$13)</f>
        <v>0</v>
      </c>
      <c r="K12" s="12"/>
      <c r="L12" s="12"/>
    </row>
    <row r="13" spans="1:12" ht="23.1" customHeight="1" outlineLevel="4" x14ac:dyDescent="0.2">
      <c r="A13" s="16"/>
      <c r="B13" s="63" t="s">
        <v>22</v>
      </c>
      <c r="C13" s="15"/>
      <c r="D13" s="15"/>
      <c r="E13" s="16" t="s">
        <v>23</v>
      </c>
      <c r="F13" s="17"/>
      <c r="G13" s="18">
        <v>53.16</v>
      </c>
      <c r="H13" s="18">
        <f>SUM($G$13:$G$13)</f>
        <v>53.16</v>
      </c>
      <c r="I13" s="22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22">
        <f>ROUND($H$13*$I$13,2)</f>
        <v>0</v>
      </c>
      <c r="K13" s="15" t="s">
        <v>24</v>
      </c>
      <c r="L13" s="15"/>
    </row>
    <row r="14" spans="1:12" ht="11.1" customHeight="1" outlineLevel="4" x14ac:dyDescent="0.2">
      <c r="A14" s="62"/>
      <c r="B14" s="61" t="s">
        <v>25</v>
      </c>
      <c r="C14" s="14"/>
      <c r="D14" s="14"/>
      <c r="E14" s="14"/>
      <c r="F14" s="14"/>
      <c r="G14" s="14"/>
      <c r="H14" s="14"/>
      <c r="I14" s="50"/>
      <c r="J14" s="51">
        <f>SUM($J$15:$J$21)</f>
        <v>0</v>
      </c>
      <c r="K14" s="12"/>
      <c r="L14" s="12"/>
    </row>
    <row r="15" spans="1:12" ht="23.1" customHeight="1" outlineLevel="4" x14ac:dyDescent="0.2">
      <c r="A15" s="16" t="s">
        <v>26</v>
      </c>
      <c r="B15" s="63" t="s">
        <v>27</v>
      </c>
      <c r="C15" s="15"/>
      <c r="D15" s="15" t="s">
        <v>28</v>
      </c>
      <c r="E15" s="16" t="s">
        <v>29</v>
      </c>
      <c r="F15" s="19">
        <v>1.0149999999999999</v>
      </c>
      <c r="G15" s="19">
        <v>1.4E-2</v>
      </c>
      <c r="H15" s="19">
        <f>SUM($G$15:$G$15)</f>
        <v>1.4E-2</v>
      </c>
      <c r="I15" s="22">
        <f t="array" ref="I15">INDEX(М[Цена за ед., руб],MATCH(1,IF(($B15=М[Наим.])*($C15=М[Артикул, марка, произв.])*($D15=М[Хар-ка])*($K15=М[Прим.]),{1},($B15=М[Наим.])*($C15=М[Артикул, марка, произв.])*($D15=М[Хар-ка])*($K15=М[Прим.])),0))</f>
        <v>0</v>
      </c>
      <c r="J15" s="22">
        <f>ROUND($H$15*$I$15,2)</f>
        <v>0</v>
      </c>
      <c r="K15" s="15"/>
      <c r="L15" s="15" t="str">
        <f t="array" ref="L15">INDEX(М[Форма закупа],MATCH(1,IF(($B15=М[Наим.])*($C15=М[Артикул, марка, произв.])*($D15=М[Хар-ка])*($K15=М[Прим.]),{1},($B15=М[Наим.])*($C15=М[Артикул, марка, произв.])*($D15=М[Хар-ка])*($K15=М[Прим.])),0))</f>
        <v>Закупка подрядчик</v>
      </c>
    </row>
    <row r="16" spans="1:12" ht="11.1" customHeight="1" outlineLevel="4" x14ac:dyDescent="0.2">
      <c r="A16" s="16" t="s">
        <v>30</v>
      </c>
      <c r="B16" s="63" t="s">
        <v>31</v>
      </c>
      <c r="C16" s="15"/>
      <c r="D16" s="15" t="s">
        <v>32</v>
      </c>
      <c r="E16" s="16" t="s">
        <v>23</v>
      </c>
      <c r="F16" s="19">
        <v>1.0149999999999999</v>
      </c>
      <c r="G16" s="18">
        <v>38.44</v>
      </c>
      <c r="H16" s="18">
        <f>SUM($G$16:$G$16)</f>
        <v>38.44</v>
      </c>
      <c r="I16" s="22">
        <f t="array" ref="I16">INDEX(М[Цена за ед., руб],MATCH(1,IF(($B16=М[Наим.])*($C16=М[Артикул, марка, произв.])*($D16=М[Хар-ка])*($K16=М[Прим.]),{1},($B16=М[Наим.])*($C16=М[Артикул, марка, произв.])*($D16=М[Хар-ка])*($K16=М[Прим.])),0))</f>
        <v>0</v>
      </c>
      <c r="J16" s="22">
        <f>ROUND($H$16*$I$16,2)</f>
        <v>0</v>
      </c>
      <c r="K16" s="15"/>
      <c r="L16" s="15" t="str">
        <f t="array" ref="L16">INDEX(М[Форма закупа],MATCH(1,IF(($B16=М[Наим.])*($C16=М[Артикул, марка, произв.])*($D16=М[Хар-ка])*($K16=М[Прим.]),{1},($B16=М[Наим.])*($C16=М[Артикул, марка, произв.])*($D16=М[Хар-ка])*($K16=М[Прим.])),0))</f>
        <v>Закупка подрядчик</v>
      </c>
    </row>
    <row r="17" spans="1:12" ht="47.1" customHeight="1" outlineLevel="4" x14ac:dyDescent="0.2">
      <c r="A17" s="16" t="s">
        <v>33</v>
      </c>
      <c r="B17" s="63" t="s">
        <v>34</v>
      </c>
      <c r="C17" s="15"/>
      <c r="D17" s="15" t="s">
        <v>35</v>
      </c>
      <c r="E17" s="16" t="s">
        <v>36</v>
      </c>
      <c r="F17" s="19">
        <v>0.14000000000000001</v>
      </c>
      <c r="G17" s="18">
        <v>0.28999999999999998</v>
      </c>
      <c r="H17" s="18">
        <f>SUM($G$17:$G$17)</f>
        <v>0.28999999999999998</v>
      </c>
      <c r="I17" s="22">
        <f t="array" ref="I17">INDEX(М[Цена за ед., руб],MATCH(1,IF(($B17=М[Наим.])*($C17=М[Артикул,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  <c r="J17" s="22">
        <f>ROUND($H$17*$I$17,2)</f>
        <v>0</v>
      </c>
      <c r="K17" s="15"/>
      <c r="L17" s="15" t="str">
        <f t="array" ref="L17">INDEX(М[Форма закупа],MATCH(1,IF(($B17=М[Наим.])*($C17=М[Артикул, марка, произв.])*($D17=М[Хар-ка])*($K17=М[Прим.]),{1},($B17=М[Наим.])*($C17=М[Артикул, марка, произв.])*($D17=М[Хар-ка])*($K17=М[Прим.])),0))</f>
        <v>Закупка подрядчик</v>
      </c>
    </row>
    <row r="18" spans="1:12" ht="11.1" customHeight="1" outlineLevel="4" x14ac:dyDescent="0.2">
      <c r="A18" s="16" t="s">
        <v>37</v>
      </c>
      <c r="B18" s="63" t="s">
        <v>38</v>
      </c>
      <c r="C18" s="15"/>
      <c r="D18" s="15" t="s">
        <v>39</v>
      </c>
      <c r="E18" s="16" t="s">
        <v>23</v>
      </c>
      <c r="F18" s="19">
        <v>7.6999999999999999E-2</v>
      </c>
      <c r="G18" s="18">
        <v>0.16</v>
      </c>
      <c r="H18" s="18">
        <f>SUM($G$18:$G$18)</f>
        <v>0.16</v>
      </c>
      <c r="I18" s="22">
        <f t="array" ref="I18">INDEX(М[Цена за ед., руб],MATCH(1,IF(($B18=М[Наим.])*($C18=М[Артикул,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  <c r="J18" s="22">
        <f>ROUND($H$18*$I$18,2)</f>
        <v>0</v>
      </c>
      <c r="K18" s="15"/>
      <c r="L18" s="15" t="str">
        <f t="array" ref="L18">INDEX(М[Форма закупа],MATCH(1,IF(($B18=М[Наим.])*($C18=М[Артикул, марка, произв.])*($D18=М[Хар-ка])*($K18=М[Прим.]),{1},($B18=М[Наим.])*($C18=М[Артикул, марка, произв.])*($D18=М[Хар-ка])*($K18=М[Прим.])),0))</f>
        <v>Закупка подрядчик</v>
      </c>
    </row>
    <row r="19" spans="1:12" ht="11.1" customHeight="1" outlineLevel="4" x14ac:dyDescent="0.2">
      <c r="A19" s="16" t="s">
        <v>40</v>
      </c>
      <c r="B19" s="63" t="s">
        <v>41</v>
      </c>
      <c r="C19" s="15"/>
      <c r="D19" s="15" t="s">
        <v>42</v>
      </c>
      <c r="E19" s="16" t="s">
        <v>43</v>
      </c>
      <c r="F19" s="17"/>
      <c r="G19" s="20">
        <v>4</v>
      </c>
      <c r="H19" s="20">
        <f>SUM($G$19:$G$19)</f>
        <v>4</v>
      </c>
      <c r="I19" s="22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22">
        <f>ROUND($H$19*$I$19,2)</f>
        <v>0</v>
      </c>
      <c r="K19" s="15"/>
      <c r="L19" s="15" t="str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Закупка подрядчик</v>
      </c>
    </row>
    <row r="20" spans="1:12" ht="11.1" customHeight="1" outlineLevel="4" x14ac:dyDescent="0.2">
      <c r="A20" s="16" t="s">
        <v>44</v>
      </c>
      <c r="B20" s="63" t="s">
        <v>45</v>
      </c>
      <c r="C20" s="15"/>
      <c r="D20" s="15" t="s">
        <v>46</v>
      </c>
      <c r="E20" s="16" t="s">
        <v>23</v>
      </c>
      <c r="F20" s="19">
        <v>1.4999999999999999E-2</v>
      </c>
      <c r="G20" s="21">
        <v>0.8</v>
      </c>
      <c r="H20" s="21">
        <f>SUM($G$20:$G$20)</f>
        <v>0.8</v>
      </c>
      <c r="I20" s="22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22">
        <f>ROUND($H$20*$I$20,2)</f>
        <v>0</v>
      </c>
      <c r="K20" s="15"/>
      <c r="L20" s="15" t="str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Закупка подрядчик</v>
      </c>
    </row>
    <row r="21" spans="1:12" ht="23.1" customHeight="1" outlineLevel="4" x14ac:dyDescent="0.2">
      <c r="A21" s="16" t="s">
        <v>47</v>
      </c>
      <c r="B21" s="63" t="s">
        <v>48</v>
      </c>
      <c r="C21" s="15"/>
      <c r="D21" s="15" t="s">
        <v>49</v>
      </c>
      <c r="E21" s="16" t="s">
        <v>23</v>
      </c>
      <c r="F21" s="19">
        <v>1.0149999999999999</v>
      </c>
      <c r="G21" s="18">
        <v>1.91</v>
      </c>
      <c r="H21" s="18">
        <f>SUM($G$21:$G$21)</f>
        <v>1.91</v>
      </c>
      <c r="I21" s="22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22">
        <f>ROUND($H$21*$I$21,2)</f>
        <v>0</v>
      </c>
      <c r="K21" s="15"/>
      <c r="L21" s="15" t="str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Закупка подрядчик</v>
      </c>
    </row>
    <row r="22" spans="1:12" ht="11.1" customHeight="1" outlineLevel="2" x14ac:dyDescent="0.2">
      <c r="A22" s="10" t="s">
        <v>50</v>
      </c>
      <c r="B22" s="61" t="s">
        <v>51</v>
      </c>
      <c r="C22" s="9"/>
      <c r="D22" s="9"/>
      <c r="E22" s="10"/>
      <c r="F22" s="11"/>
      <c r="G22" s="12"/>
      <c r="H22" s="12"/>
      <c r="I22" s="49"/>
      <c r="J22" s="49">
        <f>SUM($J$23)</f>
        <v>0</v>
      </c>
      <c r="K22" s="13"/>
      <c r="L22" s="13"/>
    </row>
    <row r="23" spans="1:12" ht="11.1" customHeight="1" outlineLevel="3" x14ac:dyDescent="0.2">
      <c r="A23" s="10" t="s">
        <v>52</v>
      </c>
      <c r="B23" s="61" t="s">
        <v>51</v>
      </c>
      <c r="C23" s="9"/>
      <c r="D23" s="9"/>
      <c r="E23" s="10"/>
      <c r="F23" s="11"/>
      <c r="G23" s="12"/>
      <c r="H23" s="12"/>
      <c r="I23" s="49"/>
      <c r="J23" s="49">
        <f>SUM($J$87,$J$85,$J$75,$J$73,$J$65,$J$63,$J$51,$J$49,$J$38,$J$36,$J$26,$J$24)</f>
        <v>0</v>
      </c>
      <c r="K23" s="13"/>
      <c r="L23" s="13"/>
    </row>
    <row r="24" spans="1:12" ht="11.1" customHeight="1" outlineLevel="4" x14ac:dyDescent="0.2">
      <c r="A24" s="62"/>
      <c r="B24" s="61" t="s">
        <v>21</v>
      </c>
      <c r="C24" s="14"/>
      <c r="D24" s="14"/>
      <c r="E24" s="14"/>
      <c r="F24" s="14"/>
      <c r="G24" s="14"/>
      <c r="H24" s="14"/>
      <c r="I24" s="50"/>
      <c r="J24" s="51">
        <f>SUM($J$25)</f>
        <v>0</v>
      </c>
      <c r="K24" s="12"/>
      <c r="L24" s="12"/>
    </row>
    <row r="25" spans="1:12" ht="23.1" customHeight="1" outlineLevel="4" x14ac:dyDescent="0.2">
      <c r="A25" s="16"/>
      <c r="B25" s="63" t="s">
        <v>53</v>
      </c>
      <c r="C25" s="15"/>
      <c r="D25" s="15"/>
      <c r="E25" s="16" t="s">
        <v>23</v>
      </c>
      <c r="F25" s="17"/>
      <c r="G25" s="18">
        <v>13.02</v>
      </c>
      <c r="H25" s="18">
        <f>SUM($G$25:$G$25)</f>
        <v>13.02</v>
      </c>
      <c r="I25" s="22">
        <f t="array" ref="I25">INDEX(Р[Цена за ед., руб],MATCH(1,IF(($B25=Р[Наименование])*($K25=Р[Примечание]),{1},($B25=Р[Наименование])*($K25=Р[Примечание])),0))</f>
        <v>0</v>
      </c>
      <c r="J25" s="22">
        <f>ROUND($H$25*$I$25,2)</f>
        <v>0</v>
      </c>
      <c r="K25" s="15" t="s">
        <v>54</v>
      </c>
      <c r="L25" s="15"/>
    </row>
    <row r="26" spans="1:12" ht="11.1" customHeight="1" outlineLevel="4" x14ac:dyDescent="0.2">
      <c r="A26" s="62"/>
      <c r="B26" s="61" t="s">
        <v>25</v>
      </c>
      <c r="C26" s="14"/>
      <c r="D26" s="14"/>
      <c r="E26" s="14"/>
      <c r="F26" s="14"/>
      <c r="G26" s="14"/>
      <c r="H26" s="14"/>
      <c r="I26" s="50"/>
      <c r="J26" s="51">
        <f>SUM($J$27:$J$35)</f>
        <v>0</v>
      </c>
      <c r="K26" s="12"/>
      <c r="L26" s="12"/>
    </row>
    <row r="27" spans="1:12" ht="47.1" customHeight="1" outlineLevel="4" x14ac:dyDescent="0.2">
      <c r="A27" s="16" t="s">
        <v>26</v>
      </c>
      <c r="B27" s="63" t="s">
        <v>34</v>
      </c>
      <c r="C27" s="15"/>
      <c r="D27" s="15" t="s">
        <v>35</v>
      </c>
      <c r="E27" s="16" t="s">
        <v>36</v>
      </c>
      <c r="F27" s="19">
        <v>0.14000000000000001</v>
      </c>
      <c r="G27" s="18">
        <v>0.18</v>
      </c>
      <c r="H27" s="18">
        <f>SUM($G$27:$G$27)</f>
        <v>0.18</v>
      </c>
      <c r="I27" s="22">
        <f t="array" ref="I27">INDEX(М[Цена за ед., руб],MATCH(1,IF(($B27=М[Наим.])*($C27=М[Артикул, марка, произв.])*($D27=М[Хар-ка])*($K27=М[Прим.]),{1},($B27=М[Наим.])*($C27=М[Артикул, марка, произв.])*($D27=М[Хар-ка])*($K27=М[Прим.])),0))</f>
        <v>0</v>
      </c>
      <c r="J27" s="22">
        <f>ROUND($H$27*$I$27,2)</f>
        <v>0</v>
      </c>
      <c r="K27" s="15"/>
      <c r="L27" s="15" t="str">
        <f t="array" ref="L27">INDEX(М[Форма закупа],MATCH(1,IF(($B27=М[Наим.])*($C27=М[Артикул, марка, произв.])*($D27=М[Хар-ка])*($K27=М[Прим.]),{1},($B27=М[Наим.])*($C27=М[Артикул, марка, произв.])*($D27=М[Хар-ка])*($K27=М[Прим.])),0))</f>
        <v>Закупка подрядчик</v>
      </c>
    </row>
    <row r="28" spans="1:12" ht="11.1" customHeight="1" outlineLevel="4" x14ac:dyDescent="0.2">
      <c r="A28" s="16" t="s">
        <v>30</v>
      </c>
      <c r="B28" s="63" t="s">
        <v>38</v>
      </c>
      <c r="C28" s="15"/>
      <c r="D28" s="15" t="s">
        <v>39</v>
      </c>
      <c r="E28" s="16" t="s">
        <v>23</v>
      </c>
      <c r="F28" s="19">
        <v>7.6999999999999999E-2</v>
      </c>
      <c r="G28" s="21">
        <v>0.1</v>
      </c>
      <c r="H28" s="21">
        <f>SUM($G$28:$G$28)</f>
        <v>0.1</v>
      </c>
      <c r="I28" s="22">
        <f t="array" ref="I28">INDEX(М[Цена за ед., руб],MATCH(1,IF(($B28=М[Наим.])*($C28=М[Артикул,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  <c r="J28" s="22">
        <f>ROUND($H$28*$I$28,2)</f>
        <v>0</v>
      </c>
      <c r="K28" s="15"/>
      <c r="L28" s="15" t="str">
        <f t="array" ref="L28">INDEX(М[Форма закупа],MATCH(1,IF(($B28=М[Наим.])*($C28=М[Артикул, марка, произв.])*($D28=М[Хар-ка])*($K28=М[Прим.]),{1},($B28=М[Наим.])*($C28=М[Артикул, марка, произв.])*($D28=М[Хар-ка])*($K28=М[Прим.])),0))</f>
        <v>Закупка подрядчик</v>
      </c>
    </row>
    <row r="29" spans="1:12" ht="11.1" customHeight="1" outlineLevel="4" x14ac:dyDescent="0.2">
      <c r="A29" s="16" t="s">
        <v>33</v>
      </c>
      <c r="B29" s="63" t="s">
        <v>41</v>
      </c>
      <c r="C29" s="15"/>
      <c r="D29" s="15" t="s">
        <v>42</v>
      </c>
      <c r="E29" s="16" t="s">
        <v>43</v>
      </c>
      <c r="F29" s="17"/>
      <c r="G29" s="20">
        <v>4</v>
      </c>
      <c r="H29" s="20">
        <f>SUM($G$29:$G$29)</f>
        <v>4</v>
      </c>
      <c r="I29" s="22">
        <f t="array" ref="I29">INDEX(М[Цена за ед., руб],MATCH(1,IF(($B29=М[Наим.])*($C29=М[Артикул, марка, произв.])*($D29=М[Хар-ка])*($K29=М[Прим.]),{1},($B29=М[Наим.])*($C29=М[Артикул, марка, произв.])*($D29=М[Хар-ка])*($K29=М[Прим.])),0))</f>
        <v>0</v>
      </c>
      <c r="J29" s="22">
        <f>ROUND($H$29*$I$29,2)</f>
        <v>0</v>
      </c>
      <c r="K29" s="15"/>
      <c r="L29" s="15" t="str">
        <f t="array" ref="L29">INDEX(М[Форма закупа],MATCH(1,IF(($B29=М[Наим.])*($C29=М[Артикул, марка, произв.])*($D29=М[Хар-ка])*($K29=М[Прим.]),{1},($B29=М[Наим.])*($C29=М[Артикул, марка, произв.])*($D29=М[Хар-ка])*($K29=М[Прим.])),0))</f>
        <v>Закупка подрядчик</v>
      </c>
    </row>
    <row r="30" spans="1:12" ht="11.1" customHeight="1" outlineLevel="4" x14ac:dyDescent="0.2">
      <c r="A30" s="16" t="s">
        <v>37</v>
      </c>
      <c r="B30" s="63" t="s">
        <v>45</v>
      </c>
      <c r="C30" s="15"/>
      <c r="D30" s="15" t="s">
        <v>46</v>
      </c>
      <c r="E30" s="16" t="s">
        <v>23</v>
      </c>
      <c r="F30" s="19">
        <v>1.4999999999999999E-2</v>
      </c>
      <c r="G30" s="21">
        <v>0.2</v>
      </c>
      <c r="H30" s="21">
        <f>SUM($G$30:$G$30)</f>
        <v>0.2</v>
      </c>
      <c r="I30" s="22">
        <f t="array" ref="I30">INDEX(М[Цена за ед., руб],MATCH(1,IF(($B30=М[Наим.])*($C30=М[Артикул,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  <c r="J30" s="22">
        <f>ROUND($H$30*$I$30,2)</f>
        <v>0</v>
      </c>
      <c r="K30" s="15"/>
      <c r="L30" s="15" t="str">
        <f t="array" ref="L30">INDEX(М[Форма закупа],MATCH(1,IF(($B30=М[Наим.])*($C30=М[Артикул, марка, произв.])*($D30=М[Хар-ка])*($K30=М[Прим.]),{1},($B30=М[Наим.])*($C30=М[Артикул, марка, произв.])*($D30=М[Хар-ка])*($K30=М[Прим.])),0))</f>
        <v>Закупка подрядчик</v>
      </c>
    </row>
    <row r="31" spans="1:12" ht="11.1" customHeight="1" outlineLevel="4" x14ac:dyDescent="0.2">
      <c r="A31" s="16" t="s">
        <v>40</v>
      </c>
      <c r="B31" s="63" t="s">
        <v>55</v>
      </c>
      <c r="C31" s="15"/>
      <c r="D31" s="15" t="s">
        <v>56</v>
      </c>
      <c r="E31" s="16" t="s">
        <v>23</v>
      </c>
      <c r="F31" s="19">
        <v>1.0149999999999999</v>
      </c>
      <c r="G31" s="18">
        <v>0.08</v>
      </c>
      <c r="H31" s="18">
        <f>SUM($G$31:$G$31)</f>
        <v>0.08</v>
      </c>
      <c r="I31" s="22">
        <f t="array" ref="I31">INDEX(М[Цена за ед., руб],MATCH(1,IF(($B31=М[Наим.])*($C31=М[Артикул, марка, произв.])*($D31=М[Хар-ка])*($K31=М[Прим.]),{1},($B31=М[Наим.])*($C31=М[Артикул, марка, произв.])*($D31=М[Хар-ка])*($K31=М[Прим.])),0))</f>
        <v>0</v>
      </c>
      <c r="J31" s="22">
        <f>ROUND($H$31*$I$31,2)</f>
        <v>0</v>
      </c>
      <c r="K31" s="15"/>
      <c r="L31" s="15" t="str">
        <f t="array" ref="L31">INDEX(М[Форма закупа],MATCH(1,IF(($B31=М[Наим.])*($C31=М[Артикул, марка, произв.])*($D31=М[Хар-ка])*($K31=М[Прим.]),{1},($B31=М[Наим.])*($C31=М[Артикул, марка, произв.])*($D31=М[Хар-ка])*($K31=М[Прим.])),0))</f>
        <v>Закупка подрядчик</v>
      </c>
    </row>
    <row r="32" spans="1:12" ht="11.1" customHeight="1" outlineLevel="4" x14ac:dyDescent="0.2">
      <c r="A32" s="16" t="s">
        <v>44</v>
      </c>
      <c r="B32" s="63" t="s">
        <v>55</v>
      </c>
      <c r="C32" s="15"/>
      <c r="D32" s="15" t="s">
        <v>57</v>
      </c>
      <c r="E32" s="16" t="s">
        <v>23</v>
      </c>
      <c r="F32" s="19">
        <v>1.0149999999999999</v>
      </c>
      <c r="G32" s="18">
        <v>7.32</v>
      </c>
      <c r="H32" s="18">
        <f>SUM($G$32:$G$32)</f>
        <v>7.32</v>
      </c>
      <c r="I32" s="22">
        <f t="array" ref="I32">INDEX(М[Цена за ед., руб],MATCH(1,IF(($B32=М[Наим.])*($C32=М[Артикул, марка, произв.])*($D32=М[Хар-ка])*($K32=М[Прим.]),{1},($B32=М[Наим.])*($C32=М[Артикул, марка, произв.])*($D32=М[Хар-ка])*($K32=М[Прим.])),0))</f>
        <v>0</v>
      </c>
      <c r="J32" s="22">
        <f>ROUND($H$32*$I$32,2)</f>
        <v>0</v>
      </c>
      <c r="K32" s="15"/>
      <c r="L32" s="15" t="str">
        <f t="array" ref="L32">INDEX(М[Форма закупа],MATCH(1,IF(($B32=М[Наим.])*($C32=М[Артикул, марка, произв.])*($D32=М[Хар-ка])*($K32=М[Прим.]),{1},($B32=М[Наим.])*($C32=М[Артикул, марка, произв.])*($D32=М[Хар-ка])*($K32=М[Прим.])),0))</f>
        <v>Закупка подрядчик</v>
      </c>
    </row>
    <row r="33" spans="1:12" ht="11.1" customHeight="1" outlineLevel="4" x14ac:dyDescent="0.2">
      <c r="A33" s="16" t="s">
        <v>47</v>
      </c>
      <c r="B33" s="63" t="s">
        <v>55</v>
      </c>
      <c r="C33" s="15"/>
      <c r="D33" s="15" t="s">
        <v>58</v>
      </c>
      <c r="E33" s="16" t="s">
        <v>23</v>
      </c>
      <c r="F33" s="19">
        <v>1.0149999999999999</v>
      </c>
      <c r="G33" s="18">
        <v>2.69</v>
      </c>
      <c r="H33" s="18">
        <f>SUM($G$33:$G$33)</f>
        <v>2.69</v>
      </c>
      <c r="I33" s="22">
        <f t="array" ref="I33">INDEX(М[Цена за ед., руб],MATCH(1,IF(($B33=М[Наим.])*($C33=М[Артикул, марка, произв.])*($D33=М[Хар-ка])*($K33=М[Прим.]),{1},($B33=М[Наим.])*($C33=М[Артикул, марка, произв.])*($D33=М[Хар-ка])*($K33=М[Прим.])),0))</f>
        <v>0</v>
      </c>
      <c r="J33" s="22">
        <f>ROUND($H$33*$I$33,2)</f>
        <v>0</v>
      </c>
      <c r="K33" s="15"/>
      <c r="L33" s="15" t="str">
        <f t="array" ref="L33">INDEX(М[Форма закупа],MATCH(1,IF(($B33=М[Наим.])*($C33=М[Артикул, марка, произв.])*($D33=М[Хар-ка])*($K33=М[Прим.]),{1},($B33=М[Наим.])*($C33=М[Артикул, марка, произв.])*($D33=М[Хар-ка])*($K33=М[Прим.])),0))</f>
        <v>Закупка подрядчик</v>
      </c>
    </row>
    <row r="34" spans="1:12" ht="11.1" customHeight="1" outlineLevel="4" x14ac:dyDescent="0.2">
      <c r="A34" s="16" t="s">
        <v>59</v>
      </c>
      <c r="B34" s="63" t="s">
        <v>60</v>
      </c>
      <c r="C34" s="15"/>
      <c r="D34" s="15" t="s">
        <v>61</v>
      </c>
      <c r="E34" s="16" t="s">
        <v>23</v>
      </c>
      <c r="F34" s="19">
        <v>1.0149999999999999</v>
      </c>
      <c r="G34" s="18">
        <v>0.56999999999999995</v>
      </c>
      <c r="H34" s="18">
        <f>SUM($G$34:$G$34)</f>
        <v>0.56999999999999995</v>
      </c>
      <c r="I34" s="22">
        <f t="array" ref="I34">INDEX(М[Цена за ед., руб],MATCH(1,IF(($B34=М[Наим.])*($C34=М[Артикул, марка, произв.])*($D34=М[Хар-ка])*($K34=М[Прим.]),{1},($B34=М[Наим.])*($C34=М[Артикул, марка, произв.])*($D34=М[Хар-ка])*($K34=М[Прим.])),0))</f>
        <v>0</v>
      </c>
      <c r="J34" s="22">
        <f>ROUND($H$34*$I$34,2)</f>
        <v>0</v>
      </c>
      <c r="K34" s="15" t="s">
        <v>62</v>
      </c>
      <c r="L34" s="15" t="str">
        <f t="array" ref="L34">INDEX(М[Форма закупа],MATCH(1,IF(($B34=М[Наим.])*($C34=М[Артикул, марка, произв.])*($D34=М[Хар-ка])*($K34=М[Прим.]),{1},($B34=М[Наим.])*($C34=М[Артикул, марка, произв.])*($D34=М[Хар-ка])*($K34=М[Прим.])),0))</f>
        <v>Закупка подрядчик</v>
      </c>
    </row>
    <row r="35" spans="1:12" ht="23.1" customHeight="1" outlineLevel="4" x14ac:dyDescent="0.2">
      <c r="A35" s="16" t="s">
        <v>63</v>
      </c>
      <c r="B35" s="63" t="s">
        <v>64</v>
      </c>
      <c r="C35" s="15"/>
      <c r="D35" s="15" t="s">
        <v>65</v>
      </c>
      <c r="E35" s="16" t="s">
        <v>23</v>
      </c>
      <c r="F35" s="19">
        <v>1.0149999999999999</v>
      </c>
      <c r="G35" s="18">
        <v>2.56</v>
      </c>
      <c r="H35" s="18">
        <f>SUM($G$35:$G$35)</f>
        <v>2.56</v>
      </c>
      <c r="I35" s="22">
        <f t="array" ref="I35">INDEX(М[Цена за ед., руб],MATCH(1,IF(($B35=М[Наим.])*($C35=М[Артикул, марка, произв.])*($D35=М[Хар-ка])*($K35=М[Прим.]),{1},($B35=М[Наим.])*($C35=М[Артикул, марка, произв.])*($D35=М[Хар-ка])*($K35=М[Прим.])),0))</f>
        <v>0</v>
      </c>
      <c r="J35" s="22">
        <f>ROUND($H$35*$I$35,2)</f>
        <v>0</v>
      </c>
      <c r="K35" s="15"/>
      <c r="L35" s="15" t="str">
        <f t="array" ref="L35">INDEX(М[Форма закупа],MATCH(1,IF(($B35=М[Наим.])*($C35=М[Артикул, марка, произв.])*($D35=М[Хар-ка])*($K35=М[Прим.]),{1},($B35=М[Наим.])*($C35=М[Артикул, марка, произв.])*($D35=М[Хар-ка])*($K35=М[Прим.])),0))</f>
        <v>Закупка подрядчик</v>
      </c>
    </row>
    <row r="36" spans="1:12" ht="11.1" customHeight="1" outlineLevel="4" x14ac:dyDescent="0.2">
      <c r="A36" s="62"/>
      <c r="B36" s="61" t="s">
        <v>21</v>
      </c>
      <c r="C36" s="14"/>
      <c r="D36" s="14"/>
      <c r="E36" s="14"/>
      <c r="F36" s="14"/>
      <c r="G36" s="14"/>
      <c r="H36" s="14"/>
      <c r="I36" s="50"/>
      <c r="J36" s="51">
        <f>SUM($J$37)</f>
        <v>0</v>
      </c>
      <c r="K36" s="12"/>
      <c r="L36" s="12"/>
    </row>
    <row r="37" spans="1:12" ht="23.1" customHeight="1" outlineLevel="4" x14ac:dyDescent="0.2">
      <c r="A37" s="16"/>
      <c r="B37" s="63" t="s">
        <v>66</v>
      </c>
      <c r="C37" s="15"/>
      <c r="D37" s="15"/>
      <c r="E37" s="16" t="s">
        <v>23</v>
      </c>
      <c r="F37" s="17"/>
      <c r="G37" s="22">
        <v>1105.54</v>
      </c>
      <c r="H37" s="22">
        <f>SUM($G$37:$G$37)</f>
        <v>1105.54</v>
      </c>
      <c r="I37" s="22">
        <f t="array" ref="I37">INDEX(Р[Цена за ед., руб],MATCH(1,IF(($B37=Р[Наименование])*($K37=Р[Примечание]),{1},($B37=Р[Наименование])*($K37=Р[Примечание])),0))</f>
        <v>0</v>
      </c>
      <c r="J37" s="22">
        <f>ROUND($H$37*$I$37,2)</f>
        <v>0</v>
      </c>
      <c r="K37" s="15" t="s">
        <v>67</v>
      </c>
      <c r="L37" s="15"/>
    </row>
    <row r="38" spans="1:12" ht="11.1" customHeight="1" outlineLevel="4" x14ac:dyDescent="0.2">
      <c r="A38" s="62"/>
      <c r="B38" s="61" t="s">
        <v>25</v>
      </c>
      <c r="C38" s="14"/>
      <c r="D38" s="14"/>
      <c r="E38" s="14"/>
      <c r="F38" s="14"/>
      <c r="G38" s="14"/>
      <c r="H38" s="14"/>
      <c r="I38" s="50"/>
      <c r="J38" s="51">
        <f>SUM($J$39:$J$48)</f>
        <v>0</v>
      </c>
      <c r="K38" s="12"/>
      <c r="L38" s="12"/>
    </row>
    <row r="39" spans="1:12" ht="47.1" customHeight="1" outlineLevel="4" x14ac:dyDescent="0.2">
      <c r="A39" s="16" t="s">
        <v>26</v>
      </c>
      <c r="B39" s="63" t="s">
        <v>34</v>
      </c>
      <c r="C39" s="15"/>
      <c r="D39" s="15" t="s">
        <v>35</v>
      </c>
      <c r="E39" s="16" t="s">
        <v>36</v>
      </c>
      <c r="F39" s="19">
        <v>0.14000000000000001</v>
      </c>
      <c r="G39" s="18">
        <v>14.89</v>
      </c>
      <c r="H39" s="18">
        <f>SUM($G$39:$G$39)</f>
        <v>14.89</v>
      </c>
      <c r="I39" s="22">
        <f t="array" ref="I39">INDEX(М[Цена за ед., руб],MATCH(1,IF(($B39=М[Наим.])*($C39=М[Артикул, марка, произв.])*($D39=М[Хар-ка])*($K39=М[Прим.]),{1},($B39=М[Наим.])*($C39=М[Артикул, марка, произв.])*($D39=М[Хар-ка])*($K39=М[Прим.])),0))</f>
        <v>0</v>
      </c>
      <c r="J39" s="22">
        <f>ROUND($H$39*$I$39,2)</f>
        <v>0</v>
      </c>
      <c r="K39" s="15"/>
      <c r="L39" s="15" t="str">
        <f t="array" ref="L39">INDEX(М[Форма закупа],MATCH(1,IF(($B39=М[Наим.])*($C39=М[Артикул, марка, произв.])*($D39=М[Хар-ка])*($K39=М[Прим.]),{1},($B39=М[Наим.])*($C39=М[Артикул, марка, произв.])*($D39=М[Хар-ка])*($K39=М[Прим.])),0))</f>
        <v>Закупка подрядчик</v>
      </c>
    </row>
    <row r="40" spans="1:12" ht="11.1" customHeight="1" outlineLevel="4" x14ac:dyDescent="0.2">
      <c r="A40" s="16" t="s">
        <v>30</v>
      </c>
      <c r="B40" s="63" t="s">
        <v>38</v>
      </c>
      <c r="C40" s="15"/>
      <c r="D40" s="15" t="s">
        <v>39</v>
      </c>
      <c r="E40" s="16" t="s">
        <v>23</v>
      </c>
      <c r="F40" s="19">
        <v>7.6999999999999999E-2</v>
      </c>
      <c r="G40" s="18">
        <v>8.19</v>
      </c>
      <c r="H40" s="18">
        <f>SUM($G$40:$G$40)</f>
        <v>8.19</v>
      </c>
      <c r="I40" s="22">
        <f t="array" ref="I40">INDEX(М[Цена за ед., руб],MATCH(1,IF(($B40=М[Наим.])*($C40=М[Артикул, марка, произв.])*($D40=М[Хар-ка])*($K40=М[Прим.]),{1},($B40=М[Наим.])*($C40=М[Артикул, марка, произв.])*($D40=М[Хар-ка])*($K40=М[Прим.])),0))</f>
        <v>0</v>
      </c>
      <c r="J40" s="22">
        <f>ROUND($H$40*$I$40,2)</f>
        <v>0</v>
      </c>
      <c r="K40" s="15"/>
      <c r="L40" s="15" t="str">
        <f t="array" ref="L40">INDEX(М[Форма закупа],MATCH(1,IF(($B40=М[Наим.])*($C40=М[Артикул, марка, произв.])*($D40=М[Хар-ка])*($K40=М[Прим.]),{1},($B40=М[Наим.])*($C40=М[Артикул, марка, произв.])*($D40=М[Хар-ка])*($K40=М[Прим.])),0))</f>
        <v>Закупка подрядчик</v>
      </c>
    </row>
    <row r="41" spans="1:12" ht="11.1" customHeight="1" outlineLevel="4" x14ac:dyDescent="0.2">
      <c r="A41" s="16" t="s">
        <v>33</v>
      </c>
      <c r="B41" s="63" t="s">
        <v>41</v>
      </c>
      <c r="C41" s="15"/>
      <c r="D41" s="15" t="s">
        <v>42</v>
      </c>
      <c r="E41" s="16" t="s">
        <v>43</v>
      </c>
      <c r="F41" s="17"/>
      <c r="G41" s="20">
        <v>4</v>
      </c>
      <c r="H41" s="20">
        <f>SUM($G$41:$G$41)</f>
        <v>4</v>
      </c>
      <c r="I41" s="22">
        <f t="array" ref="I41">INDEX(М[Цена за ед., руб],MATCH(1,IF(($B41=М[Наим.])*($C41=М[Артикул,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  <c r="J41" s="22">
        <f>ROUND($H$41*$I$41,2)</f>
        <v>0</v>
      </c>
      <c r="K41" s="15"/>
      <c r="L41" s="15" t="str">
        <f t="array" ref="L41">INDEX(М[Форма закупа],MATCH(1,IF(($B41=М[Наим.])*($C41=М[Артикул, марка, произв.])*($D41=М[Хар-ка])*($K41=М[Прим.]),{1},($B41=М[Наим.])*($C41=М[Артикул, марка, произв.])*($D41=М[Хар-ка])*($K41=М[Прим.])),0))</f>
        <v>Закупка подрядчик</v>
      </c>
    </row>
    <row r="42" spans="1:12" ht="11.1" customHeight="1" outlineLevel="4" x14ac:dyDescent="0.2">
      <c r="A42" s="16" t="s">
        <v>37</v>
      </c>
      <c r="B42" s="63" t="s">
        <v>45</v>
      </c>
      <c r="C42" s="15"/>
      <c r="D42" s="15" t="s">
        <v>46</v>
      </c>
      <c r="E42" s="16" t="s">
        <v>23</v>
      </c>
      <c r="F42" s="19">
        <v>1.4999999999999999E-2</v>
      </c>
      <c r="G42" s="18">
        <v>16.579999999999998</v>
      </c>
      <c r="H42" s="18">
        <f>SUM($G$42:$G$42)</f>
        <v>16.579999999999998</v>
      </c>
      <c r="I42" s="22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22">
        <f>ROUND($H$42*$I$42,2)</f>
        <v>0</v>
      </c>
      <c r="K42" s="15"/>
      <c r="L42" s="15" t="str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Закупка подрядчик</v>
      </c>
    </row>
    <row r="43" spans="1:12" ht="11.1" customHeight="1" outlineLevel="4" x14ac:dyDescent="0.2">
      <c r="A43" s="16" t="s">
        <v>40</v>
      </c>
      <c r="B43" s="63" t="s">
        <v>55</v>
      </c>
      <c r="C43" s="15"/>
      <c r="D43" s="15" t="s">
        <v>56</v>
      </c>
      <c r="E43" s="16" t="s">
        <v>23</v>
      </c>
      <c r="F43" s="19">
        <v>1.0149999999999999</v>
      </c>
      <c r="G43" s="18">
        <v>12.11</v>
      </c>
      <c r="H43" s="18">
        <f>SUM($G$43:$G$43)</f>
        <v>12.11</v>
      </c>
      <c r="I43" s="22">
        <f t="array" ref="I43">INDEX(М[Цена за ед., руб],MATCH(1,IF(($B43=М[Наим.])*($C43=М[Артикул,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  <c r="J43" s="22">
        <f>ROUND($H$43*$I$43,2)</f>
        <v>0</v>
      </c>
      <c r="K43" s="15"/>
      <c r="L43" s="15" t="str">
        <f t="array" ref="L43">INDEX(М[Форма закупа],MATCH(1,IF(($B43=М[Наим.])*($C43=М[Артикул, марка, произв.])*($D43=М[Хар-ка])*($K43=М[Прим.]),{1},($B43=М[Наим.])*($C43=М[Артикул, марка, произв.])*($D43=М[Хар-ка])*($K43=М[Прим.])),0))</f>
        <v>Закупка подрядчик</v>
      </c>
    </row>
    <row r="44" spans="1:12" ht="11.1" customHeight="1" outlineLevel="4" x14ac:dyDescent="0.2">
      <c r="A44" s="16" t="s">
        <v>44</v>
      </c>
      <c r="B44" s="63" t="s">
        <v>55</v>
      </c>
      <c r="C44" s="15"/>
      <c r="D44" s="15" t="s">
        <v>68</v>
      </c>
      <c r="E44" s="16" t="s">
        <v>23</v>
      </c>
      <c r="F44" s="19">
        <v>1.0149999999999999</v>
      </c>
      <c r="G44" s="18">
        <v>1.94</v>
      </c>
      <c r="H44" s="18">
        <f>SUM($G$44:$G$44)</f>
        <v>1.94</v>
      </c>
      <c r="I44" s="22">
        <f t="array" ref="I44">INDEX(М[Цена за ед., руб],MATCH(1,IF(($B44=М[Наим.])*($C44=М[Артикул,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  <c r="J44" s="22">
        <f>ROUND($H$44*$I$44,2)</f>
        <v>0</v>
      </c>
      <c r="K44" s="15"/>
      <c r="L44" s="15" t="str">
        <f t="array" ref="L44">INDEX(М[Форма закупа],MATCH(1,IF(($B44=М[Наим.])*($C44=М[Артикул, марка, произв.])*($D44=М[Хар-ка])*($K44=М[Прим.]),{1},($B44=М[Наим.])*($C44=М[Артикул, марка, произв.])*($D44=М[Хар-ка])*($K44=М[Прим.])),0))</f>
        <v>Закупка подрядчик</v>
      </c>
    </row>
    <row r="45" spans="1:12" ht="11.1" customHeight="1" outlineLevel="4" x14ac:dyDescent="0.2">
      <c r="A45" s="16" t="s">
        <v>47</v>
      </c>
      <c r="B45" s="63" t="s">
        <v>55</v>
      </c>
      <c r="C45" s="15"/>
      <c r="D45" s="15" t="s">
        <v>57</v>
      </c>
      <c r="E45" s="16" t="s">
        <v>23</v>
      </c>
      <c r="F45" s="19">
        <v>1.0149999999999999</v>
      </c>
      <c r="G45" s="18">
        <v>701.71</v>
      </c>
      <c r="H45" s="18">
        <f>SUM($G$45:$G$45)</f>
        <v>701.71</v>
      </c>
      <c r="I45" s="22">
        <f t="array" ref="I45">INDEX(М[Цена за ед., руб],MATCH(1,IF(($B45=М[Наим.])*($C45=М[Артикул, марка, произв.])*($D45=М[Хар-ка])*($K45=М[Прим.]),{1},($B45=М[Наим.])*($C45=М[Артикул, марка, произв.])*($D45=М[Хар-ка])*($K45=М[Прим.])),0))</f>
        <v>0</v>
      </c>
      <c r="J45" s="22">
        <f>ROUND($H$45*$I$45,2)</f>
        <v>0</v>
      </c>
      <c r="K45" s="15"/>
      <c r="L45" s="15" t="str">
        <f t="array" ref="L45">INDEX(М[Форма закупа],MATCH(1,IF(($B45=М[Наим.])*($C45=М[Артикул, марка, произв.])*($D45=М[Хар-ка])*($K45=М[Прим.]),{1},($B45=М[Наим.])*($C45=М[Артикул, марка, произв.])*($D45=М[Хар-ка])*($K45=М[Прим.])),0))</f>
        <v>Закупка подрядчик</v>
      </c>
    </row>
    <row r="46" spans="1:12" ht="11.1" customHeight="1" outlineLevel="4" x14ac:dyDescent="0.2">
      <c r="A46" s="16" t="s">
        <v>59</v>
      </c>
      <c r="B46" s="63" t="s">
        <v>55</v>
      </c>
      <c r="C46" s="15"/>
      <c r="D46" s="15" t="s">
        <v>58</v>
      </c>
      <c r="E46" s="16" t="s">
        <v>23</v>
      </c>
      <c r="F46" s="19">
        <v>1.0149999999999999</v>
      </c>
      <c r="G46" s="21">
        <v>185.5</v>
      </c>
      <c r="H46" s="21">
        <f>SUM($G$46:$G$46)</f>
        <v>185.5</v>
      </c>
      <c r="I46" s="22">
        <f t="array" ref="I46">INDEX(М[Цена за ед., руб],MATCH(1,IF(($B46=М[Наим.])*($C46=М[Артикул,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  <c r="J46" s="22">
        <f>ROUND($H$46*$I$46,2)</f>
        <v>0</v>
      </c>
      <c r="K46" s="15"/>
      <c r="L46" s="15" t="str">
        <f t="array" ref="L46">INDEX(М[Форма закупа],MATCH(1,IF(($B46=М[Наим.])*($C46=М[Артикул, марка, произв.])*($D46=М[Хар-ка])*($K46=М[Прим.]),{1},($B46=М[Наим.])*($C46=М[Артикул, марка, произв.])*($D46=М[Хар-ка])*($K46=М[Прим.])),0))</f>
        <v>Закупка подрядчик</v>
      </c>
    </row>
    <row r="47" spans="1:12" ht="11.1" customHeight="1" outlineLevel="4" x14ac:dyDescent="0.2">
      <c r="A47" s="16" t="s">
        <v>63</v>
      </c>
      <c r="B47" s="63" t="s">
        <v>60</v>
      </c>
      <c r="C47" s="15"/>
      <c r="D47" s="15" t="s">
        <v>69</v>
      </c>
      <c r="E47" s="16" t="s">
        <v>23</v>
      </c>
      <c r="F47" s="19">
        <v>1.0149999999999999</v>
      </c>
      <c r="G47" s="18">
        <v>0.32</v>
      </c>
      <c r="H47" s="18">
        <f>SUM($G$47:$G$47)</f>
        <v>0.32</v>
      </c>
      <c r="I47" s="22">
        <f t="array" ref="I47">INDEX(М[Цена за ед., руб],MATCH(1,IF(($B47=М[Наим.])*($C47=М[Артикул,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  <c r="J47" s="22">
        <f>ROUND($H$47*$I$47,2)</f>
        <v>0</v>
      </c>
      <c r="K47" s="15" t="s">
        <v>70</v>
      </c>
      <c r="L47" s="15" t="str">
        <f t="array" ref="L47">INDEX(М[Форма закупа],MATCH(1,IF(($B47=М[Наим.])*($C47=М[Артикул, марка, произв.])*($D47=М[Хар-ка])*($K47=М[Прим.]),{1},($B47=М[Наим.])*($C47=М[Артикул, марка, произв.])*($D47=М[Хар-ка])*($K47=М[Прим.])),0))</f>
        <v>Закупка подрядчик</v>
      </c>
    </row>
    <row r="48" spans="1:12" ht="23.1" customHeight="1" outlineLevel="4" x14ac:dyDescent="0.2">
      <c r="A48" s="16" t="s">
        <v>71</v>
      </c>
      <c r="B48" s="63" t="s">
        <v>64</v>
      </c>
      <c r="C48" s="15"/>
      <c r="D48" s="15" t="s">
        <v>65</v>
      </c>
      <c r="E48" s="16" t="s">
        <v>23</v>
      </c>
      <c r="F48" s="19">
        <v>1.0149999999999999</v>
      </c>
      <c r="G48" s="18">
        <v>220.54</v>
      </c>
      <c r="H48" s="18">
        <f>SUM($G$48:$G$48)</f>
        <v>220.54</v>
      </c>
      <c r="I48" s="22">
        <f t="array" ref="I48">INDEX(М[Цена за ед., руб],MATCH(1,IF(($B48=М[Наим.])*($C48=М[Артикул,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  <c r="J48" s="22">
        <f>ROUND($H$48*$I$48,2)</f>
        <v>0</v>
      </c>
      <c r="K48" s="15"/>
      <c r="L48" s="15" t="str">
        <f t="array" ref="L48">INDEX(М[Форма закупа],MATCH(1,IF(($B48=М[Наим.])*($C48=М[Артикул, марка, произв.])*($D48=М[Хар-ка])*($K48=М[Прим.]),{1},($B48=М[Наим.])*($C48=М[Артикул, марка, произв.])*($D48=М[Хар-ка])*($K48=М[Прим.])),0))</f>
        <v>Закупка подрядчик</v>
      </c>
    </row>
    <row r="49" spans="1:12" ht="11.1" customHeight="1" outlineLevel="4" x14ac:dyDescent="0.2">
      <c r="A49" s="62"/>
      <c r="B49" s="61" t="s">
        <v>21</v>
      </c>
      <c r="C49" s="14"/>
      <c r="D49" s="14"/>
      <c r="E49" s="14"/>
      <c r="F49" s="14"/>
      <c r="G49" s="14"/>
      <c r="H49" s="14"/>
      <c r="I49" s="50"/>
      <c r="J49" s="51">
        <f>SUM($J$50)</f>
        <v>0</v>
      </c>
      <c r="K49" s="12"/>
      <c r="L49" s="12"/>
    </row>
    <row r="50" spans="1:12" ht="23.1" customHeight="1" outlineLevel="4" x14ac:dyDescent="0.2">
      <c r="A50" s="16"/>
      <c r="B50" s="63" t="s">
        <v>72</v>
      </c>
      <c r="C50" s="15"/>
      <c r="D50" s="15"/>
      <c r="E50" s="16" t="s">
        <v>23</v>
      </c>
      <c r="F50" s="17"/>
      <c r="G50" s="18">
        <v>101.72</v>
      </c>
      <c r="H50" s="18">
        <f>SUM($G$50:$G$50)</f>
        <v>101.72</v>
      </c>
      <c r="I50" s="22">
        <f t="array" ref="I50">INDEX(Р[Цена за ед., руб],MATCH(1,IF(($B50=Р[Наименование])*($K50=Р[Примечание]),{1},($B50=Р[Наименование])*($K50=Р[Примечание])),0))</f>
        <v>0</v>
      </c>
      <c r="J50" s="22">
        <f>ROUND($H$50*$I$50,2)</f>
        <v>0</v>
      </c>
      <c r="K50" s="15" t="s">
        <v>73</v>
      </c>
      <c r="L50" s="15"/>
    </row>
    <row r="51" spans="1:12" ht="11.1" customHeight="1" outlineLevel="4" x14ac:dyDescent="0.2">
      <c r="A51" s="62"/>
      <c r="B51" s="61" t="s">
        <v>25</v>
      </c>
      <c r="C51" s="14"/>
      <c r="D51" s="14"/>
      <c r="E51" s="14"/>
      <c r="F51" s="14"/>
      <c r="G51" s="14"/>
      <c r="H51" s="14"/>
      <c r="I51" s="50"/>
      <c r="J51" s="51">
        <f>SUM($J$52:$J$62)</f>
        <v>0</v>
      </c>
      <c r="K51" s="12"/>
      <c r="L51" s="12"/>
    </row>
    <row r="52" spans="1:12" ht="47.1" customHeight="1" outlineLevel="4" x14ac:dyDescent="0.2">
      <c r="A52" s="16" t="s">
        <v>26</v>
      </c>
      <c r="B52" s="63" t="s">
        <v>34</v>
      </c>
      <c r="C52" s="15"/>
      <c r="D52" s="15" t="s">
        <v>35</v>
      </c>
      <c r="E52" s="16" t="s">
        <v>36</v>
      </c>
      <c r="F52" s="19">
        <v>0.14000000000000001</v>
      </c>
      <c r="G52" s="18">
        <v>1.32</v>
      </c>
      <c r="H52" s="18">
        <f>SUM($G$52:$G$52)</f>
        <v>1.32</v>
      </c>
      <c r="I52" s="22">
        <f t="array" ref="I52">INDEX(М[Цена за ед., руб],MATCH(1,IF(($B52=М[Наим.])*($C52=М[Артикул,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  <c r="J52" s="22">
        <f>ROUND($H$52*$I$52,2)</f>
        <v>0</v>
      </c>
      <c r="K52" s="15"/>
      <c r="L52" s="15" t="str">
        <f t="array" ref="L52">INDEX(М[Форма закупа],MATCH(1,IF(($B52=М[Наим.])*($C52=М[Артикул, марка, произв.])*($D52=М[Хар-ка])*($K52=М[Прим.]),{1},($B52=М[Наим.])*($C52=М[Артикул, марка, произв.])*($D52=М[Хар-ка])*($K52=М[Прим.])),0))</f>
        <v>Закупка подрядчик</v>
      </c>
    </row>
    <row r="53" spans="1:12" ht="11.1" customHeight="1" outlineLevel="4" x14ac:dyDescent="0.2">
      <c r="A53" s="16" t="s">
        <v>30</v>
      </c>
      <c r="B53" s="63" t="s">
        <v>38</v>
      </c>
      <c r="C53" s="15"/>
      <c r="D53" s="15" t="s">
        <v>39</v>
      </c>
      <c r="E53" s="16" t="s">
        <v>23</v>
      </c>
      <c r="F53" s="19">
        <v>7.6999999999999999E-2</v>
      </c>
      <c r="G53" s="18">
        <v>0.73</v>
      </c>
      <c r="H53" s="18">
        <f>SUM($G$53:$G$53)</f>
        <v>0.73</v>
      </c>
      <c r="I53" s="22">
        <f t="array" ref="I53">INDEX(М[Цена за ед., руб],MATCH(1,IF(($B53=М[Наим.])*($C53=М[Артикул,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  <c r="J53" s="22">
        <f>ROUND($H$53*$I$53,2)</f>
        <v>0</v>
      </c>
      <c r="K53" s="15"/>
      <c r="L53" s="15" t="str">
        <f t="array" ref="L53">INDEX(М[Форма закупа],MATCH(1,IF(($B53=М[Наим.])*($C53=М[Артикул, марка, произв.])*($D53=М[Хар-ка])*($K53=М[Прим.]),{1},($B53=М[Наим.])*($C53=М[Артикул, марка, произв.])*($D53=М[Хар-ка])*($K53=М[Прим.])),0))</f>
        <v>Закупка подрядчик</v>
      </c>
    </row>
    <row r="54" spans="1:12" ht="11.1" customHeight="1" outlineLevel="4" x14ac:dyDescent="0.2">
      <c r="A54" s="16" t="s">
        <v>33</v>
      </c>
      <c r="B54" s="63" t="s">
        <v>41</v>
      </c>
      <c r="C54" s="15"/>
      <c r="D54" s="15" t="s">
        <v>42</v>
      </c>
      <c r="E54" s="16" t="s">
        <v>43</v>
      </c>
      <c r="F54" s="17"/>
      <c r="G54" s="20">
        <v>37</v>
      </c>
      <c r="H54" s="20">
        <f>SUM($G$54:$G$54)</f>
        <v>37</v>
      </c>
      <c r="I54" s="22">
        <f t="array" ref="I54">INDEX(М[Цена за ед., руб],MATCH(1,IF(($B54=М[Наим.])*($C54=М[Артикул,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  <c r="J54" s="22">
        <f>ROUND($H$54*$I$54,2)</f>
        <v>0</v>
      </c>
      <c r="K54" s="15"/>
      <c r="L54" s="15" t="str">
        <f t="array" ref="L54">INDEX(М[Форма закупа],MATCH(1,IF(($B54=М[Наим.])*($C54=М[Артикул, марка, произв.])*($D54=М[Хар-ка])*($K54=М[Прим.]),{1},($B54=М[Наим.])*($C54=М[Артикул, марка, произв.])*($D54=М[Хар-ка])*($K54=М[Прим.])),0))</f>
        <v>Закупка подрядчик</v>
      </c>
    </row>
    <row r="55" spans="1:12" ht="11.1" customHeight="1" outlineLevel="4" x14ac:dyDescent="0.2">
      <c r="A55" s="16" t="s">
        <v>37</v>
      </c>
      <c r="B55" s="63" t="s">
        <v>45</v>
      </c>
      <c r="C55" s="15"/>
      <c r="D55" s="15" t="s">
        <v>46</v>
      </c>
      <c r="E55" s="16" t="s">
        <v>23</v>
      </c>
      <c r="F55" s="19">
        <v>1.4999999999999999E-2</v>
      </c>
      <c r="G55" s="18">
        <v>1.53</v>
      </c>
      <c r="H55" s="18">
        <f>SUM($G$55:$G$55)</f>
        <v>1.53</v>
      </c>
      <c r="I55" s="22">
        <f t="array" ref="I55">INDEX(М[Цена за ед., руб],MATCH(1,IF(($B55=М[Наим.])*($C55=М[Артикул,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  <c r="J55" s="22">
        <f>ROUND($H$55*$I$55,2)</f>
        <v>0</v>
      </c>
      <c r="K55" s="15"/>
      <c r="L55" s="15" t="str">
        <f t="array" ref="L55">INDEX(М[Форма закупа],MATCH(1,IF(($B55=М[Наим.])*($C55=М[Артикул, марка, произв.])*($D55=М[Хар-ка])*($K55=М[Прим.]),{1},($B55=М[Наим.])*($C55=М[Артикул, марка, произв.])*($D55=М[Хар-ка])*($K55=М[Прим.])),0))</f>
        <v>Закупка подрядчик</v>
      </c>
    </row>
    <row r="56" spans="1:12" ht="11.1" customHeight="1" outlineLevel="4" x14ac:dyDescent="0.2">
      <c r="A56" s="16" t="s">
        <v>40</v>
      </c>
      <c r="B56" s="63" t="s">
        <v>55</v>
      </c>
      <c r="C56" s="15"/>
      <c r="D56" s="15" t="s">
        <v>56</v>
      </c>
      <c r="E56" s="16" t="s">
        <v>23</v>
      </c>
      <c r="F56" s="19">
        <v>1.0149999999999999</v>
      </c>
      <c r="G56" s="18">
        <v>0.89</v>
      </c>
      <c r="H56" s="18">
        <f>SUM($G$56:$G$56)</f>
        <v>0.89</v>
      </c>
      <c r="I56" s="22">
        <f t="array" ref="I56">INDEX(М[Цена за ед., руб],MATCH(1,IF(($B56=М[Наим.])*($C56=М[Артикул,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  <c r="J56" s="22">
        <f>ROUND($H$56*$I$56,2)</f>
        <v>0</v>
      </c>
      <c r="K56" s="15"/>
      <c r="L56" s="15" t="str">
        <f t="array" ref="L56">INDEX(М[Форма закупа],MATCH(1,IF(($B56=М[Наим.])*($C56=М[Артикул, марка, произв.])*($D56=М[Хар-ка])*($K56=М[Прим.]),{1},($B56=М[Наим.])*($C56=М[Артикул, марка, произв.])*($D56=М[Хар-ка])*($K56=М[Прим.])),0))</f>
        <v>Закупка подрядчик</v>
      </c>
    </row>
    <row r="57" spans="1:12" ht="11.1" customHeight="1" outlineLevel="4" x14ac:dyDescent="0.2">
      <c r="A57" s="16" t="s">
        <v>44</v>
      </c>
      <c r="B57" s="63" t="s">
        <v>55</v>
      </c>
      <c r="C57" s="15"/>
      <c r="D57" s="15" t="s">
        <v>68</v>
      </c>
      <c r="E57" s="16" t="s">
        <v>23</v>
      </c>
      <c r="F57" s="19">
        <v>1.0149999999999999</v>
      </c>
      <c r="G57" s="18">
        <v>2.78</v>
      </c>
      <c r="H57" s="18">
        <f>SUM($G$57:$G$57)</f>
        <v>2.78</v>
      </c>
      <c r="I57" s="22">
        <f t="array" ref="I57">INDEX(М[Цена за ед., руб],MATCH(1,IF(($B57=М[Наим.])*($C57=М[Артикул,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  <c r="J57" s="22">
        <f>ROUND($H$57*$I$57,2)</f>
        <v>0</v>
      </c>
      <c r="K57" s="15"/>
      <c r="L57" s="15" t="str">
        <f t="array" ref="L57">INDEX(М[Форма закупа],MATCH(1,IF(($B57=М[Наим.])*($C57=М[Артикул, марка, произв.])*($D57=М[Хар-ка])*($K57=М[Прим.]),{1},($B57=М[Наим.])*($C57=М[Артикул, марка, произв.])*($D57=М[Хар-ка])*($K57=М[Прим.])),0))</f>
        <v>Закупка подрядчик</v>
      </c>
    </row>
    <row r="58" spans="1:12" ht="11.1" customHeight="1" outlineLevel="4" x14ac:dyDescent="0.2">
      <c r="A58" s="16" t="s">
        <v>47</v>
      </c>
      <c r="B58" s="63" t="s">
        <v>55</v>
      </c>
      <c r="C58" s="15"/>
      <c r="D58" s="15" t="s">
        <v>57</v>
      </c>
      <c r="E58" s="16" t="s">
        <v>23</v>
      </c>
      <c r="F58" s="19">
        <v>1.0149999999999999</v>
      </c>
      <c r="G58" s="18">
        <v>60.28</v>
      </c>
      <c r="H58" s="18">
        <f>SUM($G$58:$G$58)</f>
        <v>60.28</v>
      </c>
      <c r="I58" s="22">
        <f t="array" ref="I58">INDEX(М[Цена за ед., руб],MATCH(1,IF(($B58=М[Наим.])*($C58=М[Артикул,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  <c r="J58" s="22">
        <f>ROUND($H$58*$I$58,2)</f>
        <v>0</v>
      </c>
      <c r="K58" s="15"/>
      <c r="L58" s="15" t="str">
        <f t="array" ref="L58">INDEX(М[Форма закупа],MATCH(1,IF(($B58=М[Наим.])*($C58=М[Артикул, марка, произв.])*($D58=М[Хар-ка])*($K58=М[Прим.]),{1},($B58=М[Наим.])*($C58=М[Артикул, марка, произв.])*($D58=М[Хар-ка])*($K58=М[Прим.])),0))</f>
        <v>Закупка подрядчик</v>
      </c>
    </row>
    <row r="59" spans="1:12" ht="11.1" customHeight="1" outlineLevel="4" x14ac:dyDescent="0.2">
      <c r="A59" s="16" t="s">
        <v>59</v>
      </c>
      <c r="B59" s="63" t="s">
        <v>55</v>
      </c>
      <c r="C59" s="15"/>
      <c r="D59" s="15" t="s">
        <v>58</v>
      </c>
      <c r="E59" s="16" t="s">
        <v>23</v>
      </c>
      <c r="F59" s="19">
        <v>1.0149999999999999</v>
      </c>
      <c r="G59" s="18">
        <v>15.98</v>
      </c>
      <c r="H59" s="18">
        <f>SUM($G$59:$G$59)</f>
        <v>15.98</v>
      </c>
      <c r="I59" s="22">
        <f t="array" ref="I59">INDEX(М[Цена за ед., руб],MATCH(1,IF(($B59=М[Наим.])*($C59=М[Артикул,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  <c r="J59" s="22">
        <f>ROUND($H$59*$I$59,2)</f>
        <v>0</v>
      </c>
      <c r="K59" s="15"/>
      <c r="L59" s="15" t="str">
        <f t="array" ref="L59">INDEX(М[Форма закупа],MATCH(1,IF(($B59=М[Наим.])*($C59=М[Артикул, марка, произв.])*($D59=М[Хар-ка])*($K59=М[Прим.]),{1},($B59=М[Наим.])*($C59=М[Артикул, марка, произв.])*($D59=М[Хар-ка])*($K59=М[Прим.])),0))</f>
        <v>Закупка подрядчик</v>
      </c>
    </row>
    <row r="60" spans="1:12" ht="11.1" customHeight="1" outlineLevel="4" x14ac:dyDescent="0.2">
      <c r="A60" s="16" t="s">
        <v>63</v>
      </c>
      <c r="B60" s="63" t="s">
        <v>60</v>
      </c>
      <c r="C60" s="15"/>
      <c r="D60" s="15" t="s">
        <v>61</v>
      </c>
      <c r="E60" s="16" t="s">
        <v>23</v>
      </c>
      <c r="F60" s="19">
        <v>1.0149999999999999</v>
      </c>
      <c r="G60" s="18">
        <v>4.59</v>
      </c>
      <c r="H60" s="18">
        <f>SUM($G$60:$G$60)</f>
        <v>4.59</v>
      </c>
      <c r="I60" s="22">
        <f t="array" ref="I60">INDEX(М[Цена за ед., руб],MATCH(1,IF(($B60=М[Наим.])*($C60=М[Артикул, марка, произв.])*($D60=М[Хар-ка])*($K60=М[Прим.]),{1},($B60=М[Наим.])*($C60=М[Артикул, марка, произв.])*($D60=М[Хар-ка])*($K60=М[Прим.])),0))</f>
        <v>0</v>
      </c>
      <c r="J60" s="22">
        <f>ROUND($H$60*$I$60,2)</f>
        <v>0</v>
      </c>
      <c r="K60" s="15" t="s">
        <v>62</v>
      </c>
      <c r="L60" s="15" t="str">
        <f t="array" ref="L60">INDEX(М[Форма закупа],MATCH(1,IF(($B60=М[Наим.])*($C60=М[Артикул, марка, произв.])*($D60=М[Хар-ка])*($K60=М[Прим.]),{1},($B60=М[Наим.])*($C60=М[Артикул, марка, произв.])*($D60=М[Хар-ка])*($K60=М[Прим.])),0))</f>
        <v>Закупка подрядчик</v>
      </c>
    </row>
    <row r="61" spans="1:12" ht="11.1" customHeight="1" outlineLevel="4" x14ac:dyDescent="0.2">
      <c r="A61" s="16" t="s">
        <v>71</v>
      </c>
      <c r="B61" s="63" t="s">
        <v>60</v>
      </c>
      <c r="C61" s="15"/>
      <c r="D61" s="15" t="s">
        <v>69</v>
      </c>
      <c r="E61" s="16" t="s">
        <v>23</v>
      </c>
      <c r="F61" s="19">
        <v>1.0149999999999999</v>
      </c>
      <c r="G61" s="21">
        <v>0.4</v>
      </c>
      <c r="H61" s="21">
        <f>SUM($G$61:$G$61)</f>
        <v>0.4</v>
      </c>
      <c r="I61" s="22">
        <f t="array" ref="I61">INDEX(М[Цена за ед., руб],MATCH(1,IF(($B61=М[Наим.])*($C61=М[Артикул, марка, произв.])*($D61=М[Хар-ка])*($K61=М[Прим.]),{1},($B61=М[Наим.])*($C61=М[Артикул, марка, произв.])*($D61=М[Хар-ка])*($K61=М[Прим.])),0))</f>
        <v>0</v>
      </c>
      <c r="J61" s="22">
        <f>ROUND($H$61*$I$61,2)</f>
        <v>0</v>
      </c>
      <c r="K61" s="15" t="s">
        <v>70</v>
      </c>
      <c r="L61" s="15" t="str">
        <f t="array" ref="L61">INDEX(М[Форма закупа],MATCH(1,IF(($B61=М[Наим.])*($C61=М[Артикул, марка, произв.])*($D61=М[Хар-ка])*($K61=М[Прим.]),{1},($B61=М[Наим.])*($C61=М[Артикул, марка, произв.])*($D61=М[Хар-ка])*($K61=М[Прим.])),0))</f>
        <v>Закупка подрядчик</v>
      </c>
    </row>
    <row r="62" spans="1:12" ht="23.1" customHeight="1" outlineLevel="4" x14ac:dyDescent="0.2">
      <c r="A62" s="16" t="s">
        <v>74</v>
      </c>
      <c r="B62" s="63" t="s">
        <v>64</v>
      </c>
      <c r="C62" s="15"/>
      <c r="D62" s="15" t="s">
        <v>65</v>
      </c>
      <c r="E62" s="16" t="s">
        <v>23</v>
      </c>
      <c r="F62" s="19">
        <v>1.0149999999999999</v>
      </c>
      <c r="G62" s="18">
        <v>18.329999999999998</v>
      </c>
      <c r="H62" s="18">
        <f>SUM($G$62:$G$62)</f>
        <v>18.329999999999998</v>
      </c>
      <c r="I62" s="22">
        <f t="array" ref="I62">INDEX(М[Цена за ед., руб],MATCH(1,IF(($B62=М[Наим.])*($C62=М[Артикул, марка, произв.])*($D62=М[Хар-ка])*($K62=М[Прим.]),{1},($B62=М[Наим.])*($C62=М[Артикул, марка, произв.])*($D62=М[Хар-ка])*($K62=М[Прим.])),0))</f>
        <v>0</v>
      </c>
      <c r="J62" s="22">
        <f>ROUND($H$62*$I$62,2)</f>
        <v>0</v>
      </c>
      <c r="K62" s="15"/>
      <c r="L62" s="15" t="str">
        <f t="array" ref="L62">INDEX(М[Форма закупа],MATCH(1,IF(($B62=М[Наим.])*($C62=М[Артикул, марка, произв.])*($D62=М[Хар-ка])*($K62=М[Прим.]),{1},($B62=М[Наим.])*($C62=М[Артикул, марка, произв.])*($D62=М[Хар-ка])*($K62=М[Прим.])),0))</f>
        <v>Закупка подрядчик</v>
      </c>
    </row>
    <row r="63" spans="1:12" ht="11.1" customHeight="1" outlineLevel="4" x14ac:dyDescent="0.2">
      <c r="A63" s="62"/>
      <c r="B63" s="61" t="s">
        <v>21</v>
      </c>
      <c r="C63" s="14"/>
      <c r="D63" s="14"/>
      <c r="E63" s="14"/>
      <c r="F63" s="14"/>
      <c r="G63" s="14"/>
      <c r="H63" s="14"/>
      <c r="I63" s="50"/>
      <c r="J63" s="51">
        <f>SUM($J$64)</f>
        <v>0</v>
      </c>
      <c r="K63" s="12"/>
      <c r="L63" s="12"/>
    </row>
    <row r="64" spans="1:12" ht="23.1" customHeight="1" outlineLevel="4" x14ac:dyDescent="0.2">
      <c r="A64" s="16"/>
      <c r="B64" s="63" t="s">
        <v>75</v>
      </c>
      <c r="C64" s="15"/>
      <c r="D64" s="15"/>
      <c r="E64" s="16" t="s">
        <v>23</v>
      </c>
      <c r="F64" s="17"/>
      <c r="G64" s="22">
        <v>2997.95</v>
      </c>
      <c r="H64" s="22">
        <f>SUM($G$64:$G$64)</f>
        <v>2997.95</v>
      </c>
      <c r="I64" s="22">
        <f t="array" ref="I64">INDEX(Р[Цена за ед., руб],MATCH(1,IF(($B64=Р[Наименование])*($K64=Р[Примечание]),{1},($B64=Р[Наименование])*($K64=Р[Примечание])),0))</f>
        <v>0</v>
      </c>
      <c r="J64" s="22">
        <f>ROUND($H$64*$I$64,2)</f>
        <v>0</v>
      </c>
      <c r="K64" s="15" t="s">
        <v>76</v>
      </c>
      <c r="L64" s="15"/>
    </row>
    <row r="65" spans="1:12" ht="11.1" customHeight="1" outlineLevel="4" x14ac:dyDescent="0.2">
      <c r="A65" s="62"/>
      <c r="B65" s="61" t="s">
        <v>25</v>
      </c>
      <c r="C65" s="14"/>
      <c r="D65" s="14"/>
      <c r="E65" s="14"/>
      <c r="F65" s="14"/>
      <c r="G65" s="14"/>
      <c r="H65" s="14"/>
      <c r="I65" s="50"/>
      <c r="J65" s="51">
        <f>SUM($J$66:$J$72)</f>
        <v>0</v>
      </c>
      <c r="K65" s="12"/>
      <c r="L65" s="12"/>
    </row>
    <row r="66" spans="1:12" ht="47.1" customHeight="1" outlineLevel="4" x14ac:dyDescent="0.2">
      <c r="A66" s="16" t="s">
        <v>26</v>
      </c>
      <c r="B66" s="63" t="s">
        <v>34</v>
      </c>
      <c r="C66" s="15"/>
      <c r="D66" s="15" t="s">
        <v>77</v>
      </c>
      <c r="E66" s="16" t="s">
        <v>36</v>
      </c>
      <c r="F66" s="19">
        <v>0.14000000000000001</v>
      </c>
      <c r="G66" s="18">
        <v>25.93</v>
      </c>
      <c r="H66" s="18">
        <f>SUM($G$66:$G$66)</f>
        <v>25.93</v>
      </c>
      <c r="I66" s="22">
        <f t="array" ref="I66">INDEX(М[Цена за ед., руб],MATCH(1,IF(($B66=М[Наим.])*($C66=М[Артикул, марка, произв.])*($D66=М[Хар-ка])*($K66=М[Прим.]),{1},($B66=М[Наим.])*($C66=М[Артикул, марка, произв.])*($D66=М[Хар-ка])*($K66=М[Прим.])),0))</f>
        <v>0</v>
      </c>
      <c r="J66" s="22">
        <f>ROUND($H$66*$I$66,2)</f>
        <v>0</v>
      </c>
      <c r="K66" s="15"/>
      <c r="L66" s="15" t="str">
        <f t="array" ref="L66">INDEX(М[Форма закупа],MATCH(1,IF(($B66=М[Наим.])*($C66=М[Артикул, марка, произв.])*($D66=М[Хар-ка])*($K66=М[Прим.]),{1},($B66=М[Наим.])*($C66=М[Артикул, марка, произв.])*($D66=М[Хар-ка])*($K66=М[Прим.])),0))</f>
        <v>Закупка подрядчик</v>
      </c>
    </row>
    <row r="67" spans="1:12" ht="11.1" customHeight="1" outlineLevel="4" x14ac:dyDescent="0.2">
      <c r="A67" s="16" t="s">
        <v>30</v>
      </c>
      <c r="B67" s="63" t="s">
        <v>38</v>
      </c>
      <c r="C67" s="15"/>
      <c r="D67" s="15" t="s">
        <v>39</v>
      </c>
      <c r="E67" s="16" t="s">
        <v>23</v>
      </c>
      <c r="F67" s="19">
        <v>7.6999999999999999E-2</v>
      </c>
      <c r="G67" s="18">
        <v>14.26</v>
      </c>
      <c r="H67" s="18">
        <f>SUM($G$67:$G$67)</f>
        <v>14.26</v>
      </c>
      <c r="I67" s="22">
        <f t="array" ref="I67">INDEX(М[Цена за ед., руб],MATCH(1,IF(($B67=М[Наим.])*($C67=М[Артикул, марка, произв.])*($D67=М[Хар-ка])*($K67=М[Прим.]),{1},($B67=М[Наим.])*($C67=М[Артикул, марка, произв.])*($D67=М[Хар-ка])*($K67=М[Прим.])),0))</f>
        <v>0</v>
      </c>
      <c r="J67" s="22">
        <f>ROUND($H$67*$I$67,2)</f>
        <v>0</v>
      </c>
      <c r="K67" s="15"/>
      <c r="L67" s="15" t="str">
        <f t="array" ref="L67">INDEX(М[Форма закупа],MATCH(1,IF(($B67=М[Наим.])*($C67=М[Артикул, марка, произв.])*($D67=М[Хар-ка])*($K67=М[Прим.]),{1},($B67=М[Наим.])*($C67=М[Артикул, марка, произв.])*($D67=М[Хар-ка])*($K67=М[Прим.])),0))</f>
        <v>Закупка подрядчик</v>
      </c>
    </row>
    <row r="68" spans="1:12" ht="11.1" customHeight="1" outlineLevel="4" x14ac:dyDescent="0.2">
      <c r="A68" s="16" t="s">
        <v>33</v>
      </c>
      <c r="B68" s="63" t="s">
        <v>41</v>
      </c>
      <c r="C68" s="15"/>
      <c r="D68" s="15" t="s">
        <v>42</v>
      </c>
      <c r="E68" s="16" t="s">
        <v>43</v>
      </c>
      <c r="F68" s="17"/>
      <c r="G68" s="20">
        <v>520</v>
      </c>
      <c r="H68" s="20">
        <f>SUM($G$68:$G$68)</f>
        <v>520</v>
      </c>
      <c r="I68" s="22">
        <f t="array" ref="I68">INDEX(М[Цена за ед., руб],MATCH(1,IF(($B68=М[Наим.])*($C68=М[Артикул, марка, произв.])*($D68=М[Хар-ка])*($K68=М[Прим.]),{1},($B68=М[Наим.])*($C68=М[Артикул, марка, произв.])*($D68=М[Хар-ка])*($K68=М[Прим.])),0))</f>
        <v>0</v>
      </c>
      <c r="J68" s="22">
        <f>ROUND($H$68*$I$68,2)</f>
        <v>0</v>
      </c>
      <c r="K68" s="15"/>
      <c r="L68" s="15" t="str">
        <f t="array" ref="L68">INDEX(М[Форма закупа],MATCH(1,IF(($B68=М[Наим.])*($C68=М[Артикул, марка, произв.])*($D68=М[Хар-ка])*($K68=М[Прим.]),{1},($B68=М[Наим.])*($C68=М[Артикул, марка, произв.])*($D68=М[Хар-ка])*($K68=М[Прим.])),0))</f>
        <v>Закупка подрядчик</v>
      </c>
    </row>
    <row r="69" spans="1:12" ht="11.1" customHeight="1" outlineLevel="4" x14ac:dyDescent="0.2">
      <c r="A69" s="16" t="s">
        <v>37</v>
      </c>
      <c r="B69" s="63" t="s">
        <v>45</v>
      </c>
      <c r="C69" s="15"/>
      <c r="D69" s="15" t="s">
        <v>46</v>
      </c>
      <c r="E69" s="16" t="s">
        <v>23</v>
      </c>
      <c r="F69" s="19">
        <v>1.4999999999999999E-2</v>
      </c>
      <c r="G69" s="18">
        <v>44.97</v>
      </c>
      <c r="H69" s="18">
        <f>SUM($G$69:$G$69)</f>
        <v>44.97</v>
      </c>
      <c r="I69" s="22">
        <f t="array" ref="I69">INDEX(М[Цена за ед., руб],MATCH(1,IF(($B69=М[Наим.])*($C69=М[Артикул,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  <c r="J69" s="22">
        <f>ROUND($H$69*$I$69,2)</f>
        <v>0</v>
      </c>
      <c r="K69" s="15"/>
      <c r="L69" s="15" t="str">
        <f t="array" ref="L69">INDEX(М[Форма закупа],MATCH(1,IF(($B69=М[Наим.])*($C69=М[Артикул, марка, произв.])*($D69=М[Хар-ка])*($K69=М[Прим.]),{1},($B69=М[Наим.])*($C69=М[Артикул, марка, произв.])*($D69=М[Хар-ка])*($K69=М[Прим.])),0))</f>
        <v>Закупка подрядчик</v>
      </c>
    </row>
    <row r="70" spans="1:12" ht="11.1" customHeight="1" outlineLevel="4" x14ac:dyDescent="0.2">
      <c r="A70" s="16" t="s">
        <v>40</v>
      </c>
      <c r="B70" s="63" t="s">
        <v>55</v>
      </c>
      <c r="C70" s="15"/>
      <c r="D70" s="15" t="s">
        <v>78</v>
      </c>
      <c r="E70" s="16" t="s">
        <v>23</v>
      </c>
      <c r="F70" s="19">
        <v>1.0149999999999999</v>
      </c>
      <c r="G70" s="22">
        <v>1453.36</v>
      </c>
      <c r="H70" s="22">
        <f>SUM($G$70:$G$70)</f>
        <v>1453.36</v>
      </c>
      <c r="I70" s="22">
        <f t="array" ref="I70">INDEX(М[Цена за ед., руб],MATCH(1,IF(($B70=М[Наим.])*($C70=М[Артикул, марка, произв.])*($D70=М[Хар-ка])*($K70=М[Прим.]),{1},($B70=М[Наим.])*($C70=М[Артикул, марка, произв.])*($D70=М[Хар-ка])*($K70=М[Прим.])),0))</f>
        <v>0</v>
      </c>
      <c r="J70" s="22">
        <f>ROUND($H$70*$I$70,2)</f>
        <v>0</v>
      </c>
      <c r="K70" s="15"/>
      <c r="L70" s="15" t="str">
        <f t="array" ref="L70">INDEX(М[Форма закупа],MATCH(1,IF(($B70=М[Наим.])*($C70=М[Артикул, марка, произв.])*($D70=М[Хар-ка])*($K70=М[Прим.]),{1},($B70=М[Наим.])*($C70=М[Артикул, марка, произв.])*($D70=М[Хар-ка])*($K70=М[Прим.])),0))</f>
        <v>Закупка подрядчик</v>
      </c>
    </row>
    <row r="71" spans="1:12" ht="11.1" customHeight="1" outlineLevel="4" x14ac:dyDescent="0.2">
      <c r="A71" s="16" t="s">
        <v>44</v>
      </c>
      <c r="B71" s="63" t="s">
        <v>55</v>
      </c>
      <c r="C71" s="15"/>
      <c r="D71" s="15" t="s">
        <v>79</v>
      </c>
      <c r="E71" s="16" t="s">
        <v>23</v>
      </c>
      <c r="F71" s="19">
        <v>1.0149999999999999</v>
      </c>
      <c r="G71" s="22">
        <v>1519.96</v>
      </c>
      <c r="H71" s="22">
        <f>SUM($G$71:$G$71)</f>
        <v>1519.96</v>
      </c>
      <c r="I71" s="22">
        <f t="array" ref="I71">INDEX(М[Цена за ед., руб],MATCH(1,IF(($B71=М[Наим.])*($C71=М[Артикул, марка, произв.])*($D71=М[Хар-ка])*($K71=М[Прим.]),{1},($B71=М[Наим.])*($C71=М[Артикул, марка, произв.])*($D71=М[Хар-ка])*($K71=М[Прим.])),0))</f>
        <v>0</v>
      </c>
      <c r="J71" s="22">
        <f>ROUND($H$71*$I$71,2)</f>
        <v>0</v>
      </c>
      <c r="K71" s="15"/>
      <c r="L71" s="15" t="str">
        <f t="array" ref="L71">INDEX(М[Форма закупа],MATCH(1,IF(($B71=М[Наим.])*($C71=М[Артикул, марка, произв.])*($D71=М[Хар-ка])*($K71=М[Прим.]),{1},($B71=М[Наим.])*($C71=М[Артикул, марка, произв.])*($D71=М[Хар-ка])*($K71=М[Прим.])),0))</f>
        <v>Закупка подрядчик</v>
      </c>
    </row>
    <row r="72" spans="1:12" ht="11.1" customHeight="1" outlineLevel="4" x14ac:dyDescent="0.2">
      <c r="A72" s="16" t="s">
        <v>47</v>
      </c>
      <c r="B72" s="63" t="s">
        <v>60</v>
      </c>
      <c r="C72" s="15"/>
      <c r="D72" s="15" t="s">
        <v>69</v>
      </c>
      <c r="E72" s="16" t="s">
        <v>23</v>
      </c>
      <c r="F72" s="19">
        <v>1.0149999999999999</v>
      </c>
      <c r="G72" s="18">
        <v>69.61</v>
      </c>
      <c r="H72" s="18">
        <f>SUM($G$72:$G$72)</f>
        <v>69.61</v>
      </c>
      <c r="I72" s="22">
        <f t="array" ref="I72">INDEX(М[Цена за ед., руб],MATCH(1,IF(($B72=М[Наим.])*($C72=М[Артикул, марка, произв.])*($D72=М[Хар-ка])*($K72=М[Прим.]),{1},($B72=М[Наим.])*($C72=М[Артикул, марка, произв.])*($D72=М[Хар-ка])*($K72=М[Прим.])),0))</f>
        <v>0</v>
      </c>
      <c r="J72" s="22">
        <f>ROUND($H$72*$I$72,2)</f>
        <v>0</v>
      </c>
      <c r="K72" s="15" t="s">
        <v>80</v>
      </c>
      <c r="L72" s="15" t="str">
        <f t="array" ref="L72">INDEX(М[Форма закупа],MATCH(1,IF(($B72=М[Наим.])*($C72=М[Артикул, марка, произв.])*($D72=М[Хар-ка])*($K72=М[Прим.]),{1},($B72=М[Наим.])*($C72=М[Артикул, марка, произв.])*($D72=М[Хар-ка])*($K72=М[Прим.])),0))</f>
        <v>Закупка подрядчик</v>
      </c>
    </row>
    <row r="73" spans="1:12" ht="11.1" customHeight="1" outlineLevel="4" x14ac:dyDescent="0.2">
      <c r="A73" s="62"/>
      <c r="B73" s="61" t="s">
        <v>21</v>
      </c>
      <c r="C73" s="14"/>
      <c r="D73" s="14"/>
      <c r="E73" s="14"/>
      <c r="F73" s="14"/>
      <c r="G73" s="14"/>
      <c r="H73" s="14"/>
      <c r="I73" s="50"/>
      <c r="J73" s="51">
        <f>SUM($J$74)</f>
        <v>0</v>
      </c>
      <c r="K73" s="12"/>
      <c r="L73" s="12"/>
    </row>
    <row r="74" spans="1:12" ht="23.1" customHeight="1" outlineLevel="4" x14ac:dyDescent="0.2">
      <c r="A74" s="16"/>
      <c r="B74" s="63" t="s">
        <v>81</v>
      </c>
      <c r="C74" s="15"/>
      <c r="D74" s="15"/>
      <c r="E74" s="16" t="s">
        <v>23</v>
      </c>
      <c r="F74" s="17"/>
      <c r="G74" s="23">
        <v>1974.4</v>
      </c>
      <c r="H74" s="23">
        <f>SUM($G$74:$G$74)</f>
        <v>1974.4</v>
      </c>
      <c r="I74" s="22">
        <f t="array" ref="I74">INDEX(Р[Цена за ед., руб],MATCH(1,IF(($B74=Р[Наименование])*($K74=Р[Примечание]),{1},($B74=Р[Наименование])*($K74=Р[Примечание])),0))</f>
        <v>0</v>
      </c>
      <c r="J74" s="22">
        <f>ROUND($H$74*$I$74,2)</f>
        <v>0</v>
      </c>
      <c r="K74" s="15" t="s">
        <v>82</v>
      </c>
      <c r="L74" s="15"/>
    </row>
    <row r="75" spans="1:12" ht="11.1" customHeight="1" outlineLevel="4" x14ac:dyDescent="0.2">
      <c r="A75" s="62"/>
      <c r="B75" s="61" t="s">
        <v>25</v>
      </c>
      <c r="C75" s="14"/>
      <c r="D75" s="14"/>
      <c r="E75" s="14"/>
      <c r="F75" s="14"/>
      <c r="G75" s="14"/>
      <c r="H75" s="14"/>
      <c r="I75" s="50"/>
      <c r="J75" s="51">
        <f>SUM($J$76:$J$84)</f>
        <v>0</v>
      </c>
      <c r="K75" s="12"/>
      <c r="L75" s="12"/>
    </row>
    <row r="76" spans="1:12" ht="47.1" customHeight="1" outlineLevel="4" x14ac:dyDescent="0.2">
      <c r="A76" s="16" t="s">
        <v>26</v>
      </c>
      <c r="B76" s="63" t="s">
        <v>34</v>
      </c>
      <c r="C76" s="15"/>
      <c r="D76" s="15" t="s">
        <v>77</v>
      </c>
      <c r="E76" s="16" t="s">
        <v>36</v>
      </c>
      <c r="F76" s="19">
        <v>0.14000000000000001</v>
      </c>
      <c r="G76" s="18">
        <v>17.350000000000001</v>
      </c>
      <c r="H76" s="18">
        <f>SUM($G$76:$G$76)</f>
        <v>17.350000000000001</v>
      </c>
      <c r="I76" s="22">
        <f t="array" ref="I76">INDEX(М[Цена за ед., руб],MATCH(1,IF(($B76=М[Наим.])*($C76=М[Артикул, марка, произв.])*($D76=М[Хар-ка])*($K76=М[Прим.]),{1},($B76=М[Наим.])*($C76=М[Артикул, марка, произв.])*($D76=М[Хар-ка])*($K76=М[Прим.])),0))</f>
        <v>0</v>
      </c>
      <c r="J76" s="22">
        <f>ROUND($H$76*$I$76,2)</f>
        <v>0</v>
      </c>
      <c r="K76" s="15"/>
      <c r="L76" s="15" t="str">
        <f t="array" ref="L76">INDEX(М[Форма закупа],MATCH(1,IF(($B76=М[Наим.])*($C76=М[Артикул, марка, произв.])*($D76=М[Хар-ка])*($K76=М[Прим.]),{1},($B76=М[Наим.])*($C76=М[Артикул, марка, произв.])*($D76=М[Хар-ка])*($K76=М[Прим.])),0))</f>
        <v>Закупка подрядчик</v>
      </c>
    </row>
    <row r="77" spans="1:12" ht="11.1" customHeight="1" outlineLevel="4" x14ac:dyDescent="0.2">
      <c r="A77" s="16" t="s">
        <v>30</v>
      </c>
      <c r="B77" s="63" t="s">
        <v>38</v>
      </c>
      <c r="C77" s="15"/>
      <c r="D77" s="15" t="s">
        <v>39</v>
      </c>
      <c r="E77" s="16" t="s">
        <v>23</v>
      </c>
      <c r="F77" s="19">
        <v>7.6999999999999999E-2</v>
      </c>
      <c r="G77" s="18">
        <v>9.5500000000000007</v>
      </c>
      <c r="H77" s="18">
        <f>SUM($G$77:$G$77)</f>
        <v>9.5500000000000007</v>
      </c>
      <c r="I77" s="22">
        <f t="array" ref="I77">INDEX(М[Цена за ед., руб],MATCH(1,IF(($B77=М[Наим.])*($C77=М[Артикул,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  <c r="J77" s="22">
        <f>ROUND($H$77*$I$77,2)</f>
        <v>0</v>
      </c>
      <c r="K77" s="15"/>
      <c r="L77" s="15" t="str">
        <f t="array" ref="L77">INDEX(М[Форма закупа],MATCH(1,IF(($B77=М[Наим.])*($C77=М[Артикул, марка, произв.])*($D77=М[Хар-ка])*($K77=М[Прим.]),{1},($B77=М[Наим.])*($C77=М[Артикул, марка, произв.])*($D77=М[Хар-ка])*($K77=М[Прим.])),0))</f>
        <v>Закупка подрядчик</v>
      </c>
    </row>
    <row r="78" spans="1:12" ht="23.1" customHeight="1" outlineLevel="4" x14ac:dyDescent="0.2">
      <c r="A78" s="16" t="s">
        <v>33</v>
      </c>
      <c r="B78" s="63" t="s">
        <v>41</v>
      </c>
      <c r="C78" s="15"/>
      <c r="D78" s="15" t="s">
        <v>83</v>
      </c>
      <c r="E78" s="16" t="s">
        <v>43</v>
      </c>
      <c r="F78" s="17"/>
      <c r="G78" s="20">
        <v>200</v>
      </c>
      <c r="H78" s="20">
        <f>SUM($G$78:$G$78)</f>
        <v>200</v>
      </c>
      <c r="I78" s="22">
        <f t="array" ref="I78">INDEX(М[Цена за ед., руб],MATCH(1,IF(($B78=М[Наим.])*($C78=М[Артикул,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  <c r="J78" s="22">
        <f>ROUND($H$78*$I$78,2)</f>
        <v>0</v>
      </c>
      <c r="K78" s="15"/>
      <c r="L78" s="15" t="str">
        <f t="array" ref="L78">INDEX(М[Форма закупа],MATCH(1,IF(($B78=М[Наим.])*($C78=М[Артикул, марка, произв.])*($D78=М[Хар-ка])*($K78=М[Прим.]),{1},($B78=М[Наим.])*($C78=М[Артикул, марка, произв.])*($D78=М[Хар-ка])*($K78=М[Прим.])),0))</f>
        <v>Закупка подрядчик</v>
      </c>
    </row>
    <row r="79" spans="1:12" ht="11.1" customHeight="1" outlineLevel="4" x14ac:dyDescent="0.2">
      <c r="A79" s="16" t="s">
        <v>37</v>
      </c>
      <c r="B79" s="63" t="s">
        <v>41</v>
      </c>
      <c r="C79" s="15"/>
      <c r="D79" s="15" t="s">
        <v>42</v>
      </c>
      <c r="E79" s="16" t="s">
        <v>43</v>
      </c>
      <c r="F79" s="17"/>
      <c r="G79" s="20">
        <v>56</v>
      </c>
      <c r="H79" s="20">
        <f>SUM($G$79:$G$79)</f>
        <v>56</v>
      </c>
      <c r="I79" s="22">
        <f t="array" ref="I79">INDEX(М[Цена за ед., руб],MATCH(1,IF(($B79=М[Наим.])*($C79=М[Артикул, марка, произв.])*($D79=М[Хар-ка])*($K79=М[Прим.]),{1},($B79=М[Наим.])*($C79=М[Артикул, марка, произв.])*($D79=М[Хар-ка])*($K79=М[Прим.])),0))</f>
        <v>0</v>
      </c>
      <c r="J79" s="22">
        <f>ROUND($H$79*$I$79,2)</f>
        <v>0</v>
      </c>
      <c r="K79" s="15"/>
      <c r="L79" s="15" t="str">
        <f t="array" ref="L79">INDEX(М[Форма закупа],MATCH(1,IF(($B79=М[Наим.])*($C79=М[Артикул, марка, произв.])*($D79=М[Хар-ка])*($K79=М[Прим.]),{1},($B79=М[Наим.])*($C79=М[Артикул, марка, произв.])*($D79=М[Хар-ка])*($K79=М[Прим.])),0))</f>
        <v>Закупка подрядчик</v>
      </c>
    </row>
    <row r="80" spans="1:12" ht="11.1" customHeight="1" outlineLevel="4" x14ac:dyDescent="0.2">
      <c r="A80" s="16" t="s">
        <v>40</v>
      </c>
      <c r="B80" s="63" t="s">
        <v>45</v>
      </c>
      <c r="C80" s="15"/>
      <c r="D80" s="15" t="s">
        <v>46</v>
      </c>
      <c r="E80" s="16" t="s">
        <v>23</v>
      </c>
      <c r="F80" s="19">
        <v>1.4999999999999999E-2</v>
      </c>
      <c r="G80" s="18">
        <v>29.62</v>
      </c>
      <c r="H80" s="18">
        <f>SUM($G$80:$G$80)</f>
        <v>29.62</v>
      </c>
      <c r="I80" s="22">
        <f t="array" ref="I80">INDEX(М[Цена за ед., руб],MATCH(1,IF(($B80=М[Наим.])*($C80=М[Артикул, марка, произв.])*($D80=М[Хар-ка])*($K80=М[Прим.]),{1},($B80=М[Наим.])*($C80=М[Артикул, марка, произв.])*($D80=М[Хар-ка])*($K80=М[Прим.])),0))</f>
        <v>0</v>
      </c>
      <c r="J80" s="22">
        <f>ROUND($H$80*$I$80,2)</f>
        <v>0</v>
      </c>
      <c r="K80" s="15"/>
      <c r="L80" s="15" t="str">
        <f t="array" ref="L80">INDEX(М[Форма закупа],MATCH(1,IF(($B80=М[Наим.])*($C80=М[Артикул, марка, произв.])*($D80=М[Хар-ка])*($K80=М[Прим.]),{1},($B80=М[Наим.])*($C80=М[Артикул, марка, произв.])*($D80=М[Хар-ка])*($K80=М[Прим.])),0))</f>
        <v>Закупка подрядчик</v>
      </c>
    </row>
    <row r="81" spans="1:12" ht="11.1" customHeight="1" outlineLevel="4" x14ac:dyDescent="0.2">
      <c r="A81" s="16" t="s">
        <v>44</v>
      </c>
      <c r="B81" s="63" t="s">
        <v>55</v>
      </c>
      <c r="C81" s="15"/>
      <c r="D81" s="15" t="s">
        <v>78</v>
      </c>
      <c r="E81" s="16" t="s">
        <v>23</v>
      </c>
      <c r="F81" s="19">
        <v>1.0149999999999999</v>
      </c>
      <c r="G81" s="22">
        <v>1080.6500000000001</v>
      </c>
      <c r="H81" s="22">
        <f>SUM($G$81:$G$81)</f>
        <v>1080.6500000000001</v>
      </c>
      <c r="I81" s="22">
        <f t="array" ref="I81">INDEX(М[Цена за ед., руб],MATCH(1,IF(($B81=М[Наим.])*($C81=М[Артикул, марка, произв.])*($D81=М[Хар-ка])*($K81=М[Прим.]),{1},($B81=М[Наим.])*($C81=М[Артикул, марка, произв.])*($D81=М[Хар-ка])*($K81=М[Прим.])),0))</f>
        <v>0</v>
      </c>
      <c r="J81" s="22">
        <f>ROUND($H$81*$I$81,2)</f>
        <v>0</v>
      </c>
      <c r="K81" s="15"/>
      <c r="L81" s="15" t="str">
        <f t="array" ref="L81">INDEX(М[Форма закупа],MATCH(1,IF(($B81=М[Наим.])*($C81=М[Артикул, марка, произв.])*($D81=М[Хар-ка])*($K81=М[Прим.]),{1},($B81=М[Наим.])*($C81=М[Артикул, марка, произв.])*($D81=М[Хар-ка])*($K81=М[Прим.])),0))</f>
        <v>Закупка подрядчик</v>
      </c>
    </row>
    <row r="82" spans="1:12" ht="11.1" customHeight="1" outlineLevel="4" x14ac:dyDescent="0.2">
      <c r="A82" s="16" t="s">
        <v>47</v>
      </c>
      <c r="B82" s="63" t="s">
        <v>55</v>
      </c>
      <c r="C82" s="15"/>
      <c r="D82" s="15" t="s">
        <v>79</v>
      </c>
      <c r="E82" s="16" t="s">
        <v>23</v>
      </c>
      <c r="F82" s="19">
        <v>1.0149999999999999</v>
      </c>
      <c r="G82" s="18">
        <v>847.03</v>
      </c>
      <c r="H82" s="18">
        <f>SUM($G$82:$G$82)</f>
        <v>847.03</v>
      </c>
      <c r="I82" s="22">
        <f t="array" ref="I82">INDEX(М[Цена за ед., руб],MATCH(1,IF(($B82=М[Наим.])*($C82=М[Артикул, марка, произв.])*($D82=М[Хар-ка])*($K82=М[Прим.]),{1},($B82=М[Наим.])*($C82=М[Артикул, марка, произв.])*($D82=М[Хар-ка])*($K82=М[Прим.])),0))</f>
        <v>0</v>
      </c>
      <c r="J82" s="22">
        <f>ROUND($H$82*$I$82,2)</f>
        <v>0</v>
      </c>
      <c r="K82" s="15"/>
      <c r="L82" s="15" t="str">
        <f t="array" ref="L82">INDEX(М[Форма закупа],MATCH(1,IF(($B82=М[Наим.])*($C82=М[Артикул, марка, произв.])*($D82=М[Хар-ка])*($K82=М[Прим.]),{1},($B82=М[Наим.])*($C82=М[Артикул, марка, произв.])*($D82=М[Хар-ка])*($K82=М[Прим.])),0))</f>
        <v>Закупка подрядчик</v>
      </c>
    </row>
    <row r="83" spans="1:12" ht="11.1" customHeight="1" outlineLevel="4" x14ac:dyDescent="0.2">
      <c r="A83" s="16" t="s">
        <v>59</v>
      </c>
      <c r="B83" s="63" t="s">
        <v>60</v>
      </c>
      <c r="C83" s="15"/>
      <c r="D83" s="15" t="s">
        <v>69</v>
      </c>
      <c r="E83" s="16" t="s">
        <v>23</v>
      </c>
      <c r="F83" s="19">
        <v>1.0149999999999999</v>
      </c>
      <c r="G83" s="21">
        <v>7.5</v>
      </c>
      <c r="H83" s="21">
        <f>SUM($G$83:$G$83)</f>
        <v>7.5</v>
      </c>
      <c r="I83" s="22">
        <f t="array" ref="I83">INDEX(М[Цена за ед., руб],MATCH(1,IF(($B83=М[Наим.])*($C83=М[Артикул, марка, произв.])*($D83=М[Хар-ка])*($K83=М[Прим.]),{1},($B83=М[Наим.])*($C83=М[Артикул, марка, произв.])*($D83=М[Хар-ка])*($K83=М[Прим.])),0))</f>
        <v>0</v>
      </c>
      <c r="J83" s="22">
        <f>ROUND($H$83*$I$83,2)</f>
        <v>0</v>
      </c>
      <c r="K83" s="15" t="s">
        <v>80</v>
      </c>
      <c r="L83" s="15" t="str">
        <f t="array" ref="L83">INDEX(М[Форма закупа],MATCH(1,IF(($B83=М[Наим.])*($C83=М[Артикул, марка, произв.])*($D83=М[Хар-ка])*($K83=М[Прим.]),{1},($B83=М[Наим.])*($C83=М[Артикул, марка, произв.])*($D83=М[Хар-ка])*($K83=М[Прим.])),0))</f>
        <v>Закупка подрядчик</v>
      </c>
    </row>
    <row r="84" spans="1:12" ht="11.1" customHeight="1" outlineLevel="4" x14ac:dyDescent="0.2">
      <c r="A84" s="16" t="s">
        <v>63</v>
      </c>
      <c r="B84" s="63" t="s">
        <v>60</v>
      </c>
      <c r="C84" s="15"/>
      <c r="D84" s="15" t="s">
        <v>84</v>
      </c>
      <c r="E84" s="16" t="s">
        <v>23</v>
      </c>
      <c r="F84" s="19">
        <v>1.0149999999999999</v>
      </c>
      <c r="G84" s="18">
        <v>68.84</v>
      </c>
      <c r="H84" s="18">
        <f>SUM($G$84:$G$84)</f>
        <v>68.84</v>
      </c>
      <c r="I84" s="22">
        <f t="array" ref="I84">INDEX(М[Цена за ед., руб],MATCH(1,IF(($B84=М[Наим.])*($C84=М[Артикул, марка, произв.])*($D84=М[Хар-ка])*($K84=М[Прим.]),{1},($B84=М[Наим.])*($C84=М[Артикул, марка, произв.])*($D84=М[Хар-ка])*($K84=М[Прим.])),0))</f>
        <v>0</v>
      </c>
      <c r="J84" s="22">
        <f>ROUND($H$84*$I$84,2)</f>
        <v>0</v>
      </c>
      <c r="K84" s="15" t="s">
        <v>85</v>
      </c>
      <c r="L84" s="15" t="str">
        <f t="array" ref="L84">INDEX(М[Форма закупа],MATCH(1,IF(($B84=М[Наим.])*($C84=М[Артикул, марка, произв.])*($D84=М[Хар-ка])*($K84=М[Прим.]),{1},($B84=М[Наим.])*($C84=М[Артикул, марка, произв.])*($D84=М[Хар-ка])*($K84=М[Прим.])),0))</f>
        <v>Закупка подрядчик</v>
      </c>
    </row>
    <row r="85" spans="1:12" ht="11.1" customHeight="1" outlineLevel="4" x14ac:dyDescent="0.2">
      <c r="A85" s="62"/>
      <c r="B85" s="61" t="s">
        <v>21</v>
      </c>
      <c r="C85" s="14"/>
      <c r="D85" s="14"/>
      <c r="E85" s="14"/>
      <c r="F85" s="14"/>
      <c r="G85" s="14"/>
      <c r="H85" s="14"/>
      <c r="I85" s="50"/>
      <c r="J85" s="51">
        <f>SUM($J$86)</f>
        <v>0</v>
      </c>
      <c r="K85" s="12"/>
      <c r="L85" s="12"/>
    </row>
    <row r="86" spans="1:12" ht="35.1" customHeight="1" outlineLevel="4" x14ac:dyDescent="0.2">
      <c r="A86" s="16"/>
      <c r="B86" s="63" t="s">
        <v>86</v>
      </c>
      <c r="C86" s="15"/>
      <c r="D86" s="15"/>
      <c r="E86" s="16" t="s">
        <v>23</v>
      </c>
      <c r="F86" s="17"/>
      <c r="G86" s="22">
        <v>8372.86</v>
      </c>
      <c r="H86" s="22">
        <f>SUM($G$86:$G$86)</f>
        <v>8372.86</v>
      </c>
      <c r="I86" s="22">
        <f t="array" ref="I86">INDEX(Р[Цена за ед., руб],MATCH(1,IF(($B86=Р[Наименование])*($K86=Р[Примечание]),{1},($B86=Р[Наименование])*($K86=Р[Примечание])),0))</f>
        <v>0</v>
      </c>
      <c r="J86" s="22">
        <f>ROUND($H$86*$I$86,2)</f>
        <v>0</v>
      </c>
      <c r="K86" s="15" t="s">
        <v>87</v>
      </c>
      <c r="L86" s="15"/>
    </row>
    <row r="87" spans="1:12" ht="11.1" customHeight="1" outlineLevel="4" x14ac:dyDescent="0.2">
      <c r="A87" s="62"/>
      <c r="B87" s="61" t="s">
        <v>25</v>
      </c>
      <c r="C87" s="14"/>
      <c r="D87" s="14"/>
      <c r="E87" s="14"/>
      <c r="F87" s="14"/>
      <c r="G87" s="14"/>
      <c r="H87" s="14"/>
      <c r="I87" s="50"/>
      <c r="J87" s="51">
        <f>SUM($J$88:$J$96)</f>
        <v>0</v>
      </c>
      <c r="K87" s="12"/>
      <c r="L87" s="12"/>
    </row>
    <row r="88" spans="1:12" ht="47.1" customHeight="1" outlineLevel="4" x14ac:dyDescent="0.2">
      <c r="A88" s="16" t="s">
        <v>26</v>
      </c>
      <c r="B88" s="63" t="s">
        <v>34</v>
      </c>
      <c r="C88" s="15"/>
      <c r="D88" s="15" t="s">
        <v>77</v>
      </c>
      <c r="E88" s="16" t="s">
        <v>36</v>
      </c>
      <c r="F88" s="19">
        <v>0.14000000000000001</v>
      </c>
      <c r="G88" s="18">
        <v>73.19</v>
      </c>
      <c r="H88" s="18">
        <f>SUM($G$88:$G$88)</f>
        <v>73.19</v>
      </c>
      <c r="I88" s="22">
        <f t="array" ref="I88">INDEX(М[Цена за ед., руб],MATCH(1,IF(($B88=М[Наим.])*($C88=М[Артикул, марка, произв.])*($D88=М[Хар-ка])*($K88=М[Прим.]),{1},($B88=М[Наим.])*($C88=М[Артикул, марка, произв.])*($D88=М[Хар-ка])*($K88=М[Прим.])),0))</f>
        <v>0</v>
      </c>
      <c r="J88" s="22">
        <f>ROUND($H$88*$I$88,2)</f>
        <v>0</v>
      </c>
      <c r="K88" s="15"/>
      <c r="L88" s="15" t="str">
        <f t="array" ref="L88">INDEX(М[Форма закупа],MATCH(1,IF(($B88=М[Наим.])*($C88=М[Артикул, марка, произв.])*($D88=М[Хар-ка])*($K88=М[Прим.]),{1},($B88=М[Наим.])*($C88=М[Артикул, марка, произв.])*($D88=М[Хар-ка])*($K88=М[Прим.])),0))</f>
        <v>Закупка подрядчик</v>
      </c>
    </row>
    <row r="89" spans="1:12" ht="11.1" customHeight="1" outlineLevel="4" x14ac:dyDescent="0.2">
      <c r="A89" s="16" t="s">
        <v>30</v>
      </c>
      <c r="B89" s="63" t="s">
        <v>38</v>
      </c>
      <c r="C89" s="15"/>
      <c r="D89" s="15" t="s">
        <v>39</v>
      </c>
      <c r="E89" s="16" t="s">
        <v>23</v>
      </c>
      <c r="F89" s="19">
        <v>7.6999999999999999E-2</v>
      </c>
      <c r="G89" s="18">
        <v>40.25</v>
      </c>
      <c r="H89" s="18">
        <f>SUM($G$89:$G$89)</f>
        <v>40.25</v>
      </c>
      <c r="I89" s="22">
        <f t="array" ref="I89">INDEX(М[Цена за ед., руб],MATCH(1,IF(($B89=М[Наим.])*($C89=М[Артикул, марка, произв.])*($D89=М[Хар-ка])*($K89=М[Прим.]),{1},($B89=М[Наим.])*($C89=М[Артикул, марка, произв.])*($D89=М[Хар-ка])*($K89=М[Прим.])),0))</f>
        <v>0</v>
      </c>
      <c r="J89" s="22">
        <f>ROUND($H$89*$I$89,2)</f>
        <v>0</v>
      </c>
      <c r="K89" s="15"/>
      <c r="L89" s="15" t="str">
        <f t="array" ref="L89">INDEX(М[Форма закупа],MATCH(1,IF(($B89=М[Наим.])*($C89=М[Артикул, марка, произв.])*($D89=М[Хар-ка])*($K89=М[Прим.]),{1},($B89=М[Наим.])*($C89=М[Артикул, марка, произв.])*($D89=М[Хар-ка])*($K89=М[Прим.])),0))</f>
        <v>Закупка подрядчик</v>
      </c>
    </row>
    <row r="90" spans="1:12" ht="23.1" customHeight="1" outlineLevel="4" x14ac:dyDescent="0.2">
      <c r="A90" s="16" t="s">
        <v>33</v>
      </c>
      <c r="B90" s="63" t="s">
        <v>41</v>
      </c>
      <c r="C90" s="15"/>
      <c r="D90" s="15" t="s">
        <v>83</v>
      </c>
      <c r="E90" s="16" t="s">
        <v>43</v>
      </c>
      <c r="F90" s="17"/>
      <c r="G90" s="24">
        <v>1064</v>
      </c>
      <c r="H90" s="24">
        <f>SUM($G$90:$G$90)</f>
        <v>1064</v>
      </c>
      <c r="I90" s="22">
        <f t="array" ref="I90">INDEX(М[Цена за ед., руб],MATCH(1,IF(($B90=М[Наим.])*($C90=М[Артикул, марка, произв.])*($D90=М[Хар-ка])*($K90=М[Прим.]),{1},($B90=М[Наим.])*($C90=М[Артикул, марка, произв.])*($D90=М[Хар-ка])*($K90=М[Прим.])),0))</f>
        <v>0</v>
      </c>
      <c r="J90" s="22">
        <f>ROUND($H$90*$I$90,2)</f>
        <v>0</v>
      </c>
      <c r="K90" s="15"/>
      <c r="L90" s="15" t="str">
        <f t="array" ref="L90">INDEX(М[Форма закупа],MATCH(1,IF(($B90=М[Наим.])*($C90=М[Артикул, марка, произв.])*($D90=М[Хар-ка])*($K90=М[Прим.]),{1},($B90=М[Наим.])*($C90=М[Артикул, марка, произв.])*($D90=М[Хар-ка])*($K90=М[Прим.])),0))</f>
        <v>Закупка подрядчик</v>
      </c>
    </row>
    <row r="91" spans="1:12" ht="11.1" customHeight="1" outlineLevel="4" x14ac:dyDescent="0.2">
      <c r="A91" s="16" t="s">
        <v>37</v>
      </c>
      <c r="B91" s="63" t="s">
        <v>41</v>
      </c>
      <c r="C91" s="15"/>
      <c r="D91" s="15" t="s">
        <v>42</v>
      </c>
      <c r="E91" s="16" t="s">
        <v>43</v>
      </c>
      <c r="F91" s="17"/>
      <c r="G91" s="20">
        <v>60</v>
      </c>
      <c r="H91" s="20">
        <f>SUM($G$91:$G$91)</f>
        <v>60</v>
      </c>
      <c r="I91" s="22">
        <f t="array" ref="I91">INDEX(М[Цена за ед., руб],MATCH(1,IF(($B91=М[Наим.])*($C91=М[Артикул, марка, произв.])*($D91=М[Хар-ка])*($K91=М[Прим.]),{1},($B91=М[Наим.])*($C91=М[Артикул, марка, произв.])*($D91=М[Хар-ка])*($K91=М[Прим.])),0))</f>
        <v>0</v>
      </c>
      <c r="J91" s="22">
        <f>ROUND($H$91*$I$91,2)</f>
        <v>0</v>
      </c>
      <c r="K91" s="15"/>
      <c r="L91" s="15" t="str">
        <f t="array" ref="L91">INDEX(М[Форма закупа],MATCH(1,IF(($B91=М[Наим.])*($C91=М[Артикул, марка, произв.])*($D91=М[Хар-ка])*($K91=М[Прим.]),{1},($B91=М[Наим.])*($C91=М[Артикул, марка, произв.])*($D91=М[Хар-ка])*($K91=М[Прим.])),0))</f>
        <v>Закупка подрядчик</v>
      </c>
    </row>
    <row r="92" spans="1:12" ht="11.1" customHeight="1" outlineLevel="4" x14ac:dyDescent="0.2">
      <c r="A92" s="16" t="s">
        <v>40</v>
      </c>
      <c r="B92" s="63" t="s">
        <v>45</v>
      </c>
      <c r="C92" s="15"/>
      <c r="D92" s="15" t="s">
        <v>46</v>
      </c>
      <c r="E92" s="16" t="s">
        <v>23</v>
      </c>
      <c r="F92" s="19">
        <v>1.4999999999999999E-2</v>
      </c>
      <c r="G92" s="18">
        <v>125.59</v>
      </c>
      <c r="H92" s="18">
        <f>SUM($G$92:$G$92)</f>
        <v>125.59</v>
      </c>
      <c r="I92" s="22">
        <f t="array" ref="I92">INDEX(М[Цена за ед., руб],MATCH(1,IF(($B92=М[Наим.])*($C92=М[Артикул, марка, произв.])*($D92=М[Хар-ка])*($K92=М[Прим.]),{1},($B92=М[Наим.])*($C92=М[Артикул, марка, произв.])*($D92=М[Хар-ка])*($K92=М[Прим.])),0))</f>
        <v>0</v>
      </c>
      <c r="J92" s="22">
        <f>ROUND($H$92*$I$92,2)</f>
        <v>0</v>
      </c>
      <c r="K92" s="15"/>
      <c r="L92" s="15" t="str">
        <f t="array" ref="L92">INDEX(М[Форма закупа],MATCH(1,IF(($B92=М[Наим.])*($C92=М[Артикул, марка, произв.])*($D92=М[Хар-ка])*($K92=М[Прим.]),{1},($B92=М[Наим.])*($C92=М[Артикул, марка, произв.])*($D92=М[Хар-ка])*($K92=М[Прим.])),0))</f>
        <v>Закупка подрядчик</v>
      </c>
    </row>
    <row r="93" spans="1:12" ht="11.1" customHeight="1" outlineLevel="4" x14ac:dyDescent="0.2">
      <c r="A93" s="16" t="s">
        <v>44</v>
      </c>
      <c r="B93" s="63" t="s">
        <v>55</v>
      </c>
      <c r="C93" s="15"/>
      <c r="D93" s="15" t="s">
        <v>78</v>
      </c>
      <c r="E93" s="16" t="s">
        <v>23</v>
      </c>
      <c r="F93" s="19">
        <v>1.0149999999999999</v>
      </c>
      <c r="G93" s="22">
        <v>4516.12</v>
      </c>
      <c r="H93" s="22">
        <f>SUM($G$93:$G$93)</f>
        <v>4516.12</v>
      </c>
      <c r="I93" s="22">
        <f t="array" ref="I93">INDEX(М[Цена за ед., руб],MATCH(1,IF(($B93=М[Наим.])*($C93=М[Артикул, марка, произв.])*($D93=М[Хар-ка])*($K93=М[Прим.]),{1},($B93=М[Наим.])*($C93=М[Артикул, марка, произв.])*($D93=М[Хар-ка])*($K93=М[Прим.])),0))</f>
        <v>0</v>
      </c>
      <c r="J93" s="22">
        <f>ROUND($H$93*$I$93,2)</f>
        <v>0</v>
      </c>
      <c r="K93" s="15"/>
      <c r="L93" s="15" t="str">
        <f t="array" ref="L93">INDEX(М[Форма закупа],MATCH(1,IF(($B93=М[Наим.])*($C93=М[Артикул, марка, произв.])*($D93=М[Хар-ка])*($K93=М[Прим.]),{1},($B93=М[Наим.])*($C93=М[Артикул, марка, произв.])*($D93=М[Хар-ка])*($K93=М[Прим.])),0))</f>
        <v>Закупка подрядчик</v>
      </c>
    </row>
    <row r="94" spans="1:12" ht="11.1" customHeight="1" outlineLevel="4" x14ac:dyDescent="0.2">
      <c r="A94" s="16" t="s">
        <v>47</v>
      </c>
      <c r="B94" s="63" t="s">
        <v>55</v>
      </c>
      <c r="C94" s="15"/>
      <c r="D94" s="15" t="s">
        <v>79</v>
      </c>
      <c r="E94" s="16" t="s">
        <v>23</v>
      </c>
      <c r="F94" s="19">
        <v>1.0149999999999999</v>
      </c>
      <c r="G94" s="22">
        <v>3597.35</v>
      </c>
      <c r="H94" s="22">
        <f>SUM($G$94:$G$94)</f>
        <v>3597.35</v>
      </c>
      <c r="I94" s="22">
        <f t="array" ref="I94">INDEX(М[Цена за ед., руб],MATCH(1,IF(($B94=М[Наим.])*($C94=М[Артикул, марка, произв.])*($D94=М[Хар-ка])*($K94=М[Прим.]),{1},($B94=М[Наим.])*($C94=М[Артикул, марка, произв.])*($D94=М[Хар-ка])*($K94=М[Прим.])),0))</f>
        <v>0</v>
      </c>
      <c r="J94" s="22">
        <f>ROUND($H$94*$I$94,2)</f>
        <v>0</v>
      </c>
      <c r="K94" s="15"/>
      <c r="L94" s="15" t="str">
        <f t="array" ref="L94">INDEX(М[Форма закупа],MATCH(1,IF(($B94=М[Наим.])*($C94=М[Артикул, марка, произв.])*($D94=М[Хар-ка])*($K94=М[Прим.]),{1},($B94=М[Наим.])*($C94=М[Артикул, марка, произв.])*($D94=М[Хар-ка])*($K94=М[Прим.])),0))</f>
        <v>Закупка подрядчик</v>
      </c>
    </row>
    <row r="95" spans="1:12" ht="11.1" customHeight="1" outlineLevel="4" x14ac:dyDescent="0.2">
      <c r="A95" s="16" t="s">
        <v>59</v>
      </c>
      <c r="B95" s="63" t="s">
        <v>60</v>
      </c>
      <c r="C95" s="15"/>
      <c r="D95" s="15" t="s">
        <v>88</v>
      </c>
      <c r="E95" s="16" t="s">
        <v>23</v>
      </c>
      <c r="F95" s="19">
        <v>1.0149999999999999</v>
      </c>
      <c r="G95" s="18">
        <v>18.739999999999998</v>
      </c>
      <c r="H95" s="18">
        <f>SUM($G$95:$G$95)</f>
        <v>18.739999999999998</v>
      </c>
      <c r="I95" s="22">
        <f t="array" ref="I95">INDEX(М[Цена за ед., руб],MATCH(1,IF(($B95=М[Наим.])*($C95=М[Артикул, марка, произв.])*($D95=М[Хар-ка])*($K95=М[Прим.]),{1},($B95=М[Наим.])*($C95=М[Артикул, марка, произв.])*($D95=М[Хар-ка])*($K95=М[Прим.])),0))</f>
        <v>0</v>
      </c>
      <c r="J95" s="22">
        <f>ROUND($H$95*$I$95,2)</f>
        <v>0</v>
      </c>
      <c r="K95" s="15" t="s">
        <v>89</v>
      </c>
      <c r="L95" s="15" t="str">
        <f t="array" ref="L95">INDEX(М[Форма закупа],MATCH(1,IF(($B95=М[Наим.])*($C95=М[Артикул, марка, произв.])*($D95=М[Хар-ка])*($K95=М[Прим.]),{1},($B95=М[Наим.])*($C95=М[Артикул, марка, произв.])*($D95=М[Хар-ка])*($K95=М[Прим.])),0))</f>
        <v>Закупка подрядчик</v>
      </c>
    </row>
    <row r="96" spans="1:12" ht="11.1" customHeight="1" outlineLevel="4" x14ac:dyDescent="0.2">
      <c r="A96" s="16" t="s">
        <v>63</v>
      </c>
      <c r="B96" s="63" t="s">
        <v>60</v>
      </c>
      <c r="C96" s="15"/>
      <c r="D96" s="15" t="s">
        <v>84</v>
      </c>
      <c r="E96" s="16" t="s">
        <v>23</v>
      </c>
      <c r="F96" s="19">
        <v>1.0149999999999999</v>
      </c>
      <c r="G96" s="18">
        <v>366.24</v>
      </c>
      <c r="H96" s="18">
        <f>SUM($G$96:$G$96)</f>
        <v>366.24</v>
      </c>
      <c r="I96" s="22">
        <f t="array" ref="I96">INDEX(М[Цена за ед., руб],MATCH(1,IF(($B96=М[Наим.])*($C96=М[Артикул, марка, произв.])*($D96=М[Хар-ка])*($K96=М[Прим.]),{1},($B96=М[Наим.])*($C96=М[Артикул, марка, произв.])*($D96=М[Хар-ка])*($K96=М[Прим.])),0))</f>
        <v>0</v>
      </c>
      <c r="J96" s="22">
        <f>ROUND($H$96*$I$96,2)</f>
        <v>0</v>
      </c>
      <c r="K96" s="15" t="s">
        <v>85</v>
      </c>
      <c r="L96" s="15" t="str">
        <f t="array" ref="L96">INDEX(М[Форма закупа],MATCH(1,IF(($B96=М[Наим.])*($C96=М[Артикул, марка, произв.])*($D96=М[Хар-ка])*($K96=М[Прим.]),{1},($B96=М[Наим.])*($C96=М[Артикул, марка, произв.])*($D96=М[Хар-ка])*($K96=М[Прим.])),0))</f>
        <v>Закупка подрядчик</v>
      </c>
    </row>
    <row r="97" spans="1:12" ht="11.1" customHeight="1" outlineLevel="2" x14ac:dyDescent="0.2">
      <c r="A97" s="10" t="s">
        <v>90</v>
      </c>
      <c r="B97" s="61" t="s">
        <v>91</v>
      </c>
      <c r="C97" s="9"/>
      <c r="D97" s="9"/>
      <c r="E97" s="10"/>
      <c r="F97" s="11"/>
      <c r="G97" s="12"/>
      <c r="H97" s="12"/>
      <c r="I97" s="49"/>
      <c r="J97" s="49">
        <f>SUM($J$98)</f>
        <v>0</v>
      </c>
      <c r="K97" s="13"/>
      <c r="L97" s="13"/>
    </row>
    <row r="98" spans="1:12" ht="11.1" customHeight="1" outlineLevel="3" x14ac:dyDescent="0.2">
      <c r="A98" s="10" t="s">
        <v>92</v>
      </c>
      <c r="B98" s="61" t="s">
        <v>91</v>
      </c>
      <c r="C98" s="9"/>
      <c r="D98" s="9"/>
      <c r="E98" s="10"/>
      <c r="F98" s="11"/>
      <c r="G98" s="12"/>
      <c r="H98" s="12"/>
      <c r="I98" s="49"/>
      <c r="J98" s="49">
        <f>SUM($J$101,$J$99)</f>
        <v>0</v>
      </c>
      <c r="K98" s="13"/>
      <c r="L98" s="13"/>
    </row>
    <row r="99" spans="1:12" ht="11.1" customHeight="1" outlineLevel="4" x14ac:dyDescent="0.2">
      <c r="A99" s="62"/>
      <c r="B99" s="61" t="s">
        <v>21</v>
      </c>
      <c r="C99" s="14"/>
      <c r="D99" s="14"/>
      <c r="E99" s="14"/>
      <c r="F99" s="14"/>
      <c r="G99" s="14"/>
      <c r="H99" s="14"/>
      <c r="I99" s="50"/>
      <c r="J99" s="51">
        <f>SUM($J$100)</f>
        <v>0</v>
      </c>
      <c r="K99" s="12"/>
      <c r="L99" s="12"/>
    </row>
    <row r="100" spans="1:12" ht="11.1" customHeight="1" outlineLevel="4" x14ac:dyDescent="0.2">
      <c r="A100" s="16"/>
      <c r="B100" s="63" t="s">
        <v>93</v>
      </c>
      <c r="C100" s="15"/>
      <c r="D100" s="15"/>
      <c r="E100" s="16" t="s">
        <v>43</v>
      </c>
      <c r="F100" s="17"/>
      <c r="G100" s="20">
        <v>4</v>
      </c>
      <c r="H100" s="20">
        <f>SUM($G$100:$G$100)</f>
        <v>4</v>
      </c>
      <c r="I100" s="22">
        <f t="array" ref="I100">INDEX(Р[Цена за ед., руб],MATCH(1,IF(($B100=Р[Наименование])*($K100=Р[Примечание]),{1},($B100=Р[Наименование])*($K100=Р[Примечание])),0))</f>
        <v>0</v>
      </c>
      <c r="J100" s="22">
        <f>ROUND($H$100*$I$100,2)</f>
        <v>0</v>
      </c>
      <c r="K100" s="15" t="s">
        <v>94</v>
      </c>
      <c r="L100" s="15"/>
    </row>
    <row r="101" spans="1:12" ht="11.1" customHeight="1" outlineLevel="4" x14ac:dyDescent="0.2">
      <c r="A101" s="62"/>
      <c r="B101" s="61" t="s">
        <v>25</v>
      </c>
      <c r="C101" s="14"/>
      <c r="D101" s="14"/>
      <c r="E101" s="14"/>
      <c r="F101" s="14"/>
      <c r="G101" s="14"/>
      <c r="H101" s="14"/>
      <c r="I101" s="50"/>
      <c r="J101" s="51">
        <f>SUM($J$102:$J$106)</f>
        <v>0</v>
      </c>
      <c r="K101" s="12"/>
      <c r="L101" s="12"/>
    </row>
    <row r="102" spans="1:12" ht="23.1" customHeight="1" outlineLevel="4" x14ac:dyDescent="0.2">
      <c r="A102" s="16" t="s">
        <v>26</v>
      </c>
      <c r="B102" s="63" t="s">
        <v>27</v>
      </c>
      <c r="C102" s="15"/>
      <c r="D102" s="15" t="s">
        <v>95</v>
      </c>
      <c r="E102" s="16" t="s">
        <v>29</v>
      </c>
      <c r="F102" s="19">
        <v>1.0149999999999999</v>
      </c>
      <c r="G102" s="19">
        <f>0.008*2</f>
        <v>1.6E-2</v>
      </c>
      <c r="H102" s="19">
        <f>SUM($G$102:$G$102)</f>
        <v>1.6E-2</v>
      </c>
      <c r="I102" s="22">
        <f t="array" ref="I102">INDEX(М[Цена за ед., руб],MATCH(1,IF(($B102=М[Наим.])*($C102=М[Артикул, марка, произв.])*($D102=М[Хар-ка])*($K102=М[Прим.]),{1},($B102=М[Наим.])*($C102=М[Артикул, марка, произв.])*($D102=М[Хар-ка])*($K102=М[Прим.])),0))</f>
        <v>0</v>
      </c>
      <c r="J102" s="22">
        <f>ROUND($H$102*$I$102,2)</f>
        <v>0</v>
      </c>
      <c r="K102" s="15"/>
      <c r="L102" s="15" t="str">
        <f t="array" ref="L102">INDEX(М[Форма закупа],MATCH(1,IF(($B102=М[Наим.])*($C102=М[Артикул, марка, произв.])*($D102=М[Хар-ка])*($K102=М[Прим.]),{1},($B102=М[Наим.])*($C102=М[Артикул, марка, произв.])*($D102=М[Хар-ка])*($K102=М[Прим.])),0))</f>
        <v>Закупка подрядчик</v>
      </c>
    </row>
    <row r="103" spans="1:12" ht="11.1" customHeight="1" outlineLevel="4" x14ac:dyDescent="0.2">
      <c r="A103" s="16" t="s">
        <v>30</v>
      </c>
      <c r="B103" s="63" t="s">
        <v>31</v>
      </c>
      <c r="C103" s="15"/>
      <c r="D103" s="15" t="s">
        <v>96</v>
      </c>
      <c r="E103" s="16" t="s">
        <v>23</v>
      </c>
      <c r="F103" s="19">
        <v>1.0149999999999999</v>
      </c>
      <c r="G103" s="18">
        <f>16.84*2</f>
        <v>33.68</v>
      </c>
      <c r="H103" s="18">
        <f>SUM($G$103:$G$103)</f>
        <v>33.68</v>
      </c>
      <c r="I103" s="22">
        <f t="array" ref="I103">INDEX(М[Цена за ед., руб],MATCH(1,IF(($B103=М[Наим.])*($C103=М[Артикул, марка, произв.])*($D103=М[Хар-ка])*($K103=М[Прим.]),{1},($B103=М[Наим.])*($C103=М[Артикул, марка, произв.])*($D103=М[Хар-ка])*($K103=М[Прим.])),0))</f>
        <v>0</v>
      </c>
      <c r="J103" s="22">
        <f>ROUND($H$103*$I$103,2)</f>
        <v>0</v>
      </c>
      <c r="K103" s="15"/>
      <c r="L103" s="15" t="str">
        <f t="array" ref="L103">INDEX(М[Форма закупа],MATCH(1,IF(($B103=М[Наим.])*($C103=М[Артикул, марка, произв.])*($D103=М[Хар-ка])*($K103=М[Прим.]),{1},($B103=М[Наим.])*($C103=М[Артикул, марка, произв.])*($D103=М[Хар-ка])*($K103=М[Прим.])),0))</f>
        <v>Закупка подрядчик</v>
      </c>
    </row>
    <row r="104" spans="1:12" ht="47.1" customHeight="1" outlineLevel="4" x14ac:dyDescent="0.2">
      <c r="A104" s="16" t="s">
        <v>33</v>
      </c>
      <c r="B104" s="63" t="s">
        <v>34</v>
      </c>
      <c r="C104" s="15"/>
      <c r="D104" s="15" t="s">
        <v>35</v>
      </c>
      <c r="E104" s="16" t="s">
        <v>36</v>
      </c>
      <c r="F104" s="19">
        <v>0.14000000000000001</v>
      </c>
      <c r="G104" s="21">
        <f>0.1*2</f>
        <v>0.2</v>
      </c>
      <c r="H104" s="21">
        <f>SUM($G$104:$G$104)</f>
        <v>0.2</v>
      </c>
      <c r="I104" s="22">
        <f t="array" ref="I104">INDEX(М[Цена за ед., руб],MATCH(1,IF(($B104=М[Наим.])*($C104=М[Артикул, марка, произв.])*($D104=М[Хар-ка])*($K104=М[Прим.]),{1},($B104=М[Наим.])*($C104=М[Артикул, марка, произв.])*($D104=М[Хар-ка])*($K104=М[Прим.])),0))</f>
        <v>0</v>
      </c>
      <c r="J104" s="22">
        <f>ROUND($H$104*$I$104,2)</f>
        <v>0</v>
      </c>
      <c r="K104" s="15"/>
      <c r="L104" s="15" t="str">
        <f t="array" ref="L104">INDEX(М[Форма закупа],MATCH(1,IF(($B104=М[Наим.])*($C104=М[Артикул, марка, произв.])*($D104=М[Хар-ка])*($K104=М[Прим.]),{1},($B104=М[Наим.])*($C104=М[Артикул, марка, произв.])*($D104=М[Хар-ка])*($K104=М[Прим.])),0))</f>
        <v>Закупка подрядчик</v>
      </c>
    </row>
    <row r="105" spans="1:12" ht="11.1" customHeight="1" outlineLevel="4" x14ac:dyDescent="0.2">
      <c r="A105" s="16" t="s">
        <v>37</v>
      </c>
      <c r="B105" s="63" t="s">
        <v>38</v>
      </c>
      <c r="C105" s="15"/>
      <c r="D105" s="15" t="s">
        <v>39</v>
      </c>
      <c r="E105" s="16" t="s">
        <v>23</v>
      </c>
      <c r="F105" s="19">
        <v>7.6999999999999999E-2</v>
      </c>
      <c r="G105" s="18">
        <f>0.05*2</f>
        <v>0.1</v>
      </c>
      <c r="H105" s="18">
        <f>SUM($G$105:$G$105)</f>
        <v>0.1</v>
      </c>
      <c r="I105" s="22">
        <f t="array" ref="I105">INDEX(М[Цена за ед., руб],MATCH(1,IF(($B105=М[Наим.])*($C105=М[Артикул, марка, произв.])*($D105=М[Хар-ка])*($K105=М[Прим.]),{1},($B105=М[Наим.])*($C105=М[Артикул, марка, произв.])*($D105=М[Хар-ка])*($K105=М[Прим.])),0))</f>
        <v>0</v>
      </c>
      <c r="J105" s="22">
        <f>ROUND($H$105*$I$105,2)</f>
        <v>0</v>
      </c>
      <c r="K105" s="15"/>
      <c r="L105" s="15" t="str">
        <f t="array" ref="L105">INDEX(М[Форма закупа],MATCH(1,IF(($B105=М[Наим.])*($C105=М[Артикул, марка, произв.])*($D105=М[Хар-ка])*($K105=М[Прим.]),{1},($B105=М[Наим.])*($C105=М[Артикул, марка, произв.])*($D105=М[Хар-ка])*($K105=М[Прим.])),0))</f>
        <v>Закупка подрядчик</v>
      </c>
    </row>
    <row r="106" spans="1:12" ht="11.1" customHeight="1" outlineLevel="4" x14ac:dyDescent="0.2">
      <c r="A106" s="16" t="s">
        <v>40</v>
      </c>
      <c r="B106" s="63" t="s">
        <v>45</v>
      </c>
      <c r="C106" s="15"/>
      <c r="D106" s="15" t="s">
        <v>46</v>
      </c>
      <c r="E106" s="16" t="s">
        <v>23</v>
      </c>
      <c r="F106" s="19">
        <v>1.4999999999999999E-2</v>
      </c>
      <c r="G106" s="18">
        <f>0.37*2</f>
        <v>0.74</v>
      </c>
      <c r="H106" s="18">
        <f>SUM($G$106:$G$106)</f>
        <v>0.74</v>
      </c>
      <c r="I106" s="22">
        <f t="array" ref="I106">INDEX(М[Цена за ед., руб],MATCH(1,IF(($B106=М[Наим.])*($C106=М[Артикул, марка, произв.])*($D106=М[Хар-ка])*($K106=М[Прим.]),{1},($B106=М[Наим.])*($C106=М[Артикул, марка, произв.])*($D106=М[Хар-ка])*($K106=М[Прим.])),0))</f>
        <v>0</v>
      </c>
      <c r="J106" s="22">
        <f>ROUND($H$106*$I$106,2)</f>
        <v>0</v>
      </c>
      <c r="K106" s="15"/>
      <c r="L106" s="15" t="str">
        <f t="array" ref="L106">INDEX(М[Форма закупа],MATCH(1,IF(($B106=М[Наим.])*($C106=М[Артикул, марка, произв.])*($D106=М[Хар-ка])*($K106=М[Прим.]),{1},($B106=М[Наим.])*($C106=М[Артикул, марка, произв.])*($D106=М[Хар-ка])*($K106=М[Прим.])),0))</f>
        <v>Закупка подрядчик</v>
      </c>
    </row>
    <row r="107" spans="1:12" ht="11.1" customHeight="1" x14ac:dyDescent="0.2">
      <c r="A107" s="64"/>
      <c r="B107" s="65"/>
      <c r="C107" s="65"/>
      <c r="D107" s="65"/>
      <c r="E107" s="65"/>
      <c r="F107" s="65"/>
      <c r="G107" s="66"/>
      <c r="H107" s="80" t="s">
        <v>97</v>
      </c>
      <c r="I107" s="81"/>
      <c r="J107" s="52">
        <f>$J$9</f>
        <v>0</v>
      </c>
      <c r="K107" s="67"/>
      <c r="L107" s="67"/>
    </row>
    <row r="108" spans="1:12" ht="11.1" customHeight="1" x14ac:dyDescent="0.2">
      <c r="A108" s="64"/>
      <c r="B108" s="65"/>
      <c r="C108" s="65"/>
      <c r="D108" s="65"/>
      <c r="E108" s="65"/>
      <c r="F108" s="65"/>
      <c r="G108" s="68"/>
      <c r="H108" s="82" t="s">
        <v>98</v>
      </c>
      <c r="I108" s="83"/>
      <c r="J108" s="52">
        <f>SUM($J$99,$J$85,$J$73,$J$63,$J$49,$J$36,$J$24,$J$12)</f>
        <v>0</v>
      </c>
      <c r="K108" s="67"/>
      <c r="L108" s="67"/>
    </row>
    <row r="109" spans="1:12" ht="11.1" customHeight="1" x14ac:dyDescent="0.2">
      <c r="A109" s="64"/>
      <c r="B109" s="65"/>
      <c r="C109" s="65"/>
      <c r="D109" s="65"/>
      <c r="E109" s="65"/>
      <c r="F109" s="65"/>
      <c r="G109" s="68"/>
      <c r="H109" s="82" t="s">
        <v>99</v>
      </c>
      <c r="I109" s="83"/>
      <c r="J109" s="52">
        <f>SUM($J$101,$J$87,$J$75,$J$65,$J$51,$J$38,$J$26,$J$14)</f>
        <v>0</v>
      </c>
      <c r="K109" s="67"/>
      <c r="L109" s="67"/>
    </row>
    <row r="110" spans="1:12" ht="11.1" customHeight="1" x14ac:dyDescent="0.2">
      <c r="A110" s="69"/>
      <c r="B110" s="72" t="s">
        <v>100</v>
      </c>
      <c r="C110" s="72"/>
      <c r="D110" s="72"/>
      <c r="E110" s="72"/>
      <c r="F110" s="72"/>
      <c r="G110" s="72"/>
      <c r="H110" s="72"/>
      <c r="I110" s="73"/>
      <c r="J110" s="73"/>
      <c r="K110" s="72"/>
      <c r="L110" s="69"/>
    </row>
    <row r="111" spans="1:12" ht="11.1" customHeight="1" x14ac:dyDescent="0.2">
      <c r="B111" s="74"/>
      <c r="C111" s="74"/>
      <c r="D111" s="74"/>
      <c r="E111" s="74"/>
      <c r="F111" s="74"/>
      <c r="G111" s="74"/>
      <c r="H111" s="74"/>
      <c r="I111" s="75"/>
      <c r="J111" s="75"/>
      <c r="K111" s="74"/>
    </row>
    <row r="113" spans="1:16" ht="11.45" customHeight="1" x14ac:dyDescent="0.2">
      <c r="A113" s="58"/>
      <c r="B113" s="70" t="s">
        <v>115</v>
      </c>
      <c r="C113" s="58"/>
      <c r="D113" s="58"/>
      <c r="E113" s="58"/>
      <c r="F113" s="58"/>
      <c r="G113" s="58"/>
      <c r="H113" s="58"/>
      <c r="I113" s="58"/>
      <c r="J113" s="58"/>
      <c r="K113" s="58"/>
      <c r="L113" s="58"/>
    </row>
    <row r="114" spans="1:16" ht="15" customHeight="1" x14ac:dyDescent="0.2">
      <c r="A114" s="56" t="s">
        <v>116</v>
      </c>
      <c r="B114" s="92" t="s">
        <v>117</v>
      </c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56"/>
      <c r="N114" s="92"/>
      <c r="O114" s="92"/>
      <c r="P114" s="92"/>
    </row>
    <row r="115" spans="1:16" ht="15" customHeight="1" x14ac:dyDescent="0.2">
      <c r="A115" s="56" t="s">
        <v>116</v>
      </c>
      <c r="B115" s="92" t="s">
        <v>118</v>
      </c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56"/>
      <c r="N115" s="92"/>
      <c r="O115" s="92"/>
      <c r="P115" s="92"/>
    </row>
    <row r="116" spans="1:16" ht="15" customHeight="1" x14ac:dyDescent="0.2">
      <c r="A116" s="56" t="s">
        <v>116</v>
      </c>
      <c r="B116" s="92" t="s">
        <v>119</v>
      </c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56"/>
      <c r="N116" s="92"/>
      <c r="O116" s="92"/>
      <c r="P116" s="92"/>
    </row>
    <row r="117" spans="1:16" ht="42" customHeight="1" x14ac:dyDescent="0.2">
      <c r="A117" s="56" t="s">
        <v>116</v>
      </c>
      <c r="B117" s="92" t="s">
        <v>120</v>
      </c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56"/>
      <c r="N117" s="92"/>
      <c r="O117" s="92"/>
      <c r="P117" s="92"/>
    </row>
    <row r="118" spans="1:16" ht="15" customHeight="1" x14ac:dyDescent="0.2">
      <c r="A118" s="56" t="s">
        <v>116</v>
      </c>
      <c r="B118" s="92" t="s">
        <v>121</v>
      </c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56"/>
      <c r="N118" s="92"/>
      <c r="O118" s="92"/>
      <c r="P118" s="92"/>
    </row>
    <row r="119" spans="1:16" ht="15" customHeight="1" x14ac:dyDescent="0.2">
      <c r="A119" s="56" t="s">
        <v>116</v>
      </c>
      <c r="B119" s="92" t="s">
        <v>122</v>
      </c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56"/>
      <c r="N119" s="92"/>
      <c r="O119" s="92"/>
      <c r="P119" s="92"/>
    </row>
    <row r="120" spans="1:16" ht="15" customHeight="1" x14ac:dyDescent="0.2">
      <c r="A120" s="56" t="s">
        <v>116</v>
      </c>
      <c r="B120" s="92" t="s">
        <v>123</v>
      </c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56"/>
      <c r="N120" s="92"/>
      <c r="O120" s="92"/>
      <c r="P120" s="92"/>
    </row>
  </sheetData>
  <mergeCells count="34">
    <mergeCell ref="B114:L114"/>
    <mergeCell ref="N114:P114"/>
    <mergeCell ref="B115:L115"/>
    <mergeCell ref="N115:P115"/>
    <mergeCell ref="B116:L116"/>
    <mergeCell ref="N116:P116"/>
    <mergeCell ref="B120:L120"/>
    <mergeCell ref="N120:P120"/>
    <mergeCell ref="B117:L117"/>
    <mergeCell ref="N117:P117"/>
    <mergeCell ref="B118:L118"/>
    <mergeCell ref="N118:P118"/>
    <mergeCell ref="B119:L119"/>
    <mergeCell ref="N119:P119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10:K110"/>
    <mergeCell ref="B111:K111"/>
    <mergeCell ref="K6:K7"/>
    <mergeCell ref="L6:L7"/>
    <mergeCell ref="H107:I107"/>
    <mergeCell ref="H108:I108"/>
    <mergeCell ref="H109:I109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13"/>
  <sheetViews>
    <sheetView workbookViewId="0">
      <pane ySplit="3" topLeftCell="A4" activePane="bottomLeft" state="frozen"/>
      <selection pane="bottomLeft" activeCell="C12" sqref="C12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71" t="s">
        <v>101</v>
      </c>
      <c r="B1" s="71"/>
      <c r="C1" s="71"/>
      <c r="D1" s="71"/>
      <c r="E1" s="71"/>
      <c r="F1" s="71"/>
    </row>
    <row r="3" spans="1:6" ht="11.1" customHeight="1" x14ac:dyDescent="0.2">
      <c r="A3" s="35" t="s">
        <v>3</v>
      </c>
      <c r="B3" s="2" t="s">
        <v>6</v>
      </c>
      <c r="C3" s="2" t="s">
        <v>9</v>
      </c>
      <c r="D3" s="42" t="s">
        <v>10</v>
      </c>
      <c r="E3" s="42" t="s">
        <v>11</v>
      </c>
      <c r="F3" s="36" t="s">
        <v>12</v>
      </c>
    </row>
    <row r="4" spans="1:6" ht="11.1" customHeight="1" x14ac:dyDescent="0.2">
      <c r="A4" s="33" t="s">
        <v>22</v>
      </c>
      <c r="B4" s="25" t="s">
        <v>23</v>
      </c>
      <c r="C4" s="26">
        <v>53.16</v>
      </c>
      <c r="D4" s="28"/>
      <c r="E4" s="28">
        <f>ROUND(Р[[#This Row],[Количество]]*Р[[#This Row],[Цена за ед., руб]],2)</f>
        <v>0</v>
      </c>
      <c r="F4" s="34" t="s">
        <v>24</v>
      </c>
    </row>
    <row r="5" spans="1:6" ht="23.1" customHeight="1" x14ac:dyDescent="0.2">
      <c r="A5" s="33" t="s">
        <v>53</v>
      </c>
      <c r="B5" s="25" t="s">
        <v>23</v>
      </c>
      <c r="C5" s="26">
        <v>13.02</v>
      </c>
      <c r="D5" s="28"/>
      <c r="E5" s="28">
        <f>ROUND(Р[[#This Row],[Количество]]*Р[[#This Row],[Цена за ед., руб]],2)</f>
        <v>0</v>
      </c>
      <c r="F5" s="34" t="s">
        <v>54</v>
      </c>
    </row>
    <row r="6" spans="1:6" ht="23.1" customHeight="1" x14ac:dyDescent="0.2">
      <c r="A6" s="33" t="s">
        <v>66</v>
      </c>
      <c r="B6" s="25" t="s">
        <v>23</v>
      </c>
      <c r="C6" s="28">
        <v>1105.54</v>
      </c>
      <c r="D6" s="28"/>
      <c r="E6" s="28">
        <f>ROUND(Р[[#This Row],[Количество]]*Р[[#This Row],[Цена за ед., руб]],2)</f>
        <v>0</v>
      </c>
      <c r="F6" s="34" t="s">
        <v>67</v>
      </c>
    </row>
    <row r="7" spans="1:6" ht="23.1" customHeight="1" x14ac:dyDescent="0.2">
      <c r="A7" s="33" t="s">
        <v>72</v>
      </c>
      <c r="B7" s="25" t="s">
        <v>23</v>
      </c>
      <c r="C7" s="26">
        <v>101.72</v>
      </c>
      <c r="D7" s="28"/>
      <c r="E7" s="28">
        <f>ROUND(Р[[#This Row],[Количество]]*Р[[#This Row],[Цена за ед., руб]],2)</f>
        <v>0</v>
      </c>
      <c r="F7" s="34" t="s">
        <v>73</v>
      </c>
    </row>
    <row r="8" spans="1:6" ht="23.1" customHeight="1" x14ac:dyDescent="0.2">
      <c r="A8" s="33" t="s">
        <v>75</v>
      </c>
      <c r="B8" s="25" t="s">
        <v>23</v>
      </c>
      <c r="C8" s="28">
        <v>2997.95</v>
      </c>
      <c r="D8" s="28"/>
      <c r="E8" s="28">
        <f>ROUND(Р[[#This Row],[Количество]]*Р[[#This Row],[Цена за ед., руб]],2)</f>
        <v>0</v>
      </c>
      <c r="F8" s="34" t="s">
        <v>76</v>
      </c>
    </row>
    <row r="9" spans="1:6" ht="23.1" customHeight="1" x14ac:dyDescent="0.2">
      <c r="A9" s="33" t="s">
        <v>81</v>
      </c>
      <c r="B9" s="25" t="s">
        <v>23</v>
      </c>
      <c r="C9" s="29">
        <v>1974.4</v>
      </c>
      <c r="D9" s="28"/>
      <c r="E9" s="28">
        <f>ROUND(Р[[#This Row],[Количество]]*Р[[#This Row],[Цена за ед., руб]],2)</f>
        <v>0</v>
      </c>
      <c r="F9" s="34" t="s">
        <v>82</v>
      </c>
    </row>
    <row r="10" spans="1:6" ht="23.1" customHeight="1" x14ac:dyDescent="0.2">
      <c r="A10" s="33" t="s">
        <v>86</v>
      </c>
      <c r="B10" s="25" t="s">
        <v>23</v>
      </c>
      <c r="C10" s="28">
        <v>8372.86</v>
      </c>
      <c r="D10" s="28"/>
      <c r="E10" s="28">
        <f>ROUND(Р[[#This Row],[Количество]]*Р[[#This Row],[Цена за ед., руб]],2)</f>
        <v>0</v>
      </c>
      <c r="F10" s="34" t="s">
        <v>87</v>
      </c>
    </row>
    <row r="11" spans="1:6" ht="11.1" customHeight="1" x14ac:dyDescent="0.2">
      <c r="A11" s="37" t="s">
        <v>93</v>
      </c>
      <c r="B11" s="38" t="s">
        <v>43</v>
      </c>
      <c r="C11" s="39">
        <v>4</v>
      </c>
      <c r="D11" s="28"/>
      <c r="E11" s="43">
        <f>ROUND(Р[[#This Row],[Количество]]*Р[[#This Row],[Цена за ед., руб]],2)</f>
        <v>0</v>
      </c>
      <c r="F11" s="40" t="s">
        <v>94</v>
      </c>
    </row>
    <row r="12" spans="1:6" ht="11.45" customHeight="1" x14ac:dyDescent="0.2">
      <c r="A12" s="37" t="s">
        <v>113</v>
      </c>
      <c r="B12" s="38"/>
      <c r="C12" s="41"/>
      <c r="D12" s="43" t="s">
        <v>124</v>
      </c>
      <c r="E12" s="43">
        <f>SUBTOTAL(109,Р[Сумма, руб])</f>
        <v>0</v>
      </c>
      <c r="F12" s="40"/>
    </row>
    <row r="13" spans="1:6" ht="11.45" customHeight="1" x14ac:dyDescent="0.2">
      <c r="D13" s="54" t="s">
        <v>125</v>
      </c>
      <c r="E13" s="55">
        <f>Р[[#Totals],[Сумма, руб]]-ЛСР!J108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28"/>
  <sheetViews>
    <sheetView workbookViewId="0">
      <pane ySplit="3" topLeftCell="A4" activePane="bottomLeft" state="frozen"/>
      <selection pane="bottomLeft" activeCell="E8" sqref="E8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71" t="s">
        <v>102</v>
      </c>
      <c r="B1" s="71"/>
      <c r="C1" s="71"/>
      <c r="D1" s="71"/>
      <c r="E1" s="71"/>
      <c r="F1" s="71"/>
      <c r="G1" s="71"/>
      <c r="H1" s="71"/>
    </row>
    <row r="2" spans="1:9" ht="11.1" customHeight="1" x14ac:dyDescent="0.2"/>
    <row r="3" spans="1:9" ht="23.1" customHeight="1" x14ac:dyDescent="0.2">
      <c r="A3" s="35" t="s">
        <v>103</v>
      </c>
      <c r="B3" s="44" t="s">
        <v>104</v>
      </c>
      <c r="C3" s="36" t="s">
        <v>105</v>
      </c>
      <c r="D3" s="2" t="s">
        <v>6</v>
      </c>
      <c r="E3" s="2" t="s">
        <v>9</v>
      </c>
      <c r="F3" s="42" t="s">
        <v>10</v>
      </c>
      <c r="G3" s="42" t="s">
        <v>11</v>
      </c>
      <c r="H3" s="2" t="s">
        <v>106</v>
      </c>
      <c r="I3" s="36" t="s">
        <v>107</v>
      </c>
    </row>
    <row r="4" spans="1:9" ht="11.1" customHeight="1" x14ac:dyDescent="0.2">
      <c r="A4" s="33" t="s">
        <v>27</v>
      </c>
      <c r="B4" s="27"/>
      <c r="C4" s="27" t="s">
        <v>95</v>
      </c>
      <c r="D4" s="25" t="s">
        <v>29</v>
      </c>
      <c r="E4" s="31">
        <f>0.008*2</f>
        <v>1.6E-2</v>
      </c>
      <c r="F4" s="28"/>
      <c r="G4" s="28">
        <f>ROUND(М[[#This Row],[Количество]]*М[[#This Row],[Цена за ед., руб]],2)</f>
        <v>0</v>
      </c>
      <c r="H4" s="27"/>
      <c r="I4" s="34" t="s">
        <v>108</v>
      </c>
    </row>
    <row r="5" spans="1:9" ht="11.1" customHeight="1" x14ac:dyDescent="0.2">
      <c r="A5" s="33" t="s">
        <v>27</v>
      </c>
      <c r="B5" s="27"/>
      <c r="C5" s="27" t="s">
        <v>28</v>
      </c>
      <c r="D5" s="25" t="s">
        <v>29</v>
      </c>
      <c r="E5" s="31">
        <v>1.4E-2</v>
      </c>
      <c r="F5" s="28"/>
      <c r="G5" s="28">
        <f>ROUND(М[[#This Row],[Количество]]*М[[#This Row],[Цена за ед., руб]],2)</f>
        <v>0</v>
      </c>
      <c r="H5" s="27"/>
      <c r="I5" s="34" t="s">
        <v>108</v>
      </c>
    </row>
    <row r="6" spans="1:9" ht="11.1" customHeight="1" x14ac:dyDescent="0.2">
      <c r="A6" s="33" t="s">
        <v>31</v>
      </c>
      <c r="B6" s="27"/>
      <c r="C6" s="27" t="s">
        <v>96</v>
      </c>
      <c r="D6" s="25" t="s">
        <v>23</v>
      </c>
      <c r="E6" s="26">
        <f>16.84*2</f>
        <v>33.68</v>
      </c>
      <c r="F6" s="28"/>
      <c r="G6" s="28">
        <f>ROUND(М[[#This Row],[Количество]]*М[[#This Row],[Цена за ед., руб]],2)</f>
        <v>0</v>
      </c>
      <c r="H6" s="27"/>
      <c r="I6" s="34" t="s">
        <v>108</v>
      </c>
    </row>
    <row r="7" spans="1:9" ht="11.1" customHeight="1" x14ac:dyDescent="0.2">
      <c r="A7" s="33" t="s">
        <v>31</v>
      </c>
      <c r="B7" s="27"/>
      <c r="C7" s="27" t="s">
        <v>32</v>
      </c>
      <c r="D7" s="25" t="s">
        <v>23</v>
      </c>
      <c r="E7" s="26">
        <v>38.44</v>
      </c>
      <c r="F7" s="28"/>
      <c r="G7" s="28">
        <f>ROUND(М[[#This Row],[Количество]]*М[[#This Row],[Цена за ед., руб]],2)</f>
        <v>0</v>
      </c>
      <c r="H7" s="27"/>
      <c r="I7" s="34" t="s">
        <v>108</v>
      </c>
    </row>
    <row r="8" spans="1:9" ht="35.1" customHeight="1" x14ac:dyDescent="0.2">
      <c r="A8" s="33" t="s">
        <v>34</v>
      </c>
      <c r="B8" s="27"/>
      <c r="C8" s="27" t="s">
        <v>77</v>
      </c>
      <c r="D8" s="25" t="s">
        <v>36</v>
      </c>
      <c r="E8" s="26">
        <v>116.47</v>
      </c>
      <c r="F8" s="28"/>
      <c r="G8" s="28">
        <f>ROUND(М[[#This Row],[Количество]]*М[[#This Row],[Цена за ед., руб]],2)</f>
        <v>0</v>
      </c>
      <c r="H8" s="27"/>
      <c r="I8" s="34" t="s">
        <v>108</v>
      </c>
    </row>
    <row r="9" spans="1:9" ht="35.1" customHeight="1" x14ac:dyDescent="0.2">
      <c r="A9" s="33" t="s">
        <v>34</v>
      </c>
      <c r="B9" s="27"/>
      <c r="C9" s="27" t="s">
        <v>35</v>
      </c>
      <c r="D9" s="25" t="s">
        <v>36</v>
      </c>
      <c r="E9" s="26">
        <v>16.78</v>
      </c>
      <c r="F9" s="28"/>
      <c r="G9" s="28">
        <f>ROUND(М[[#This Row],[Количество]]*М[[#This Row],[Цена за ед., руб]],2)</f>
        <v>0</v>
      </c>
      <c r="H9" s="27"/>
      <c r="I9" s="34" t="s">
        <v>108</v>
      </c>
    </row>
    <row r="10" spans="1:9" ht="11.1" customHeight="1" x14ac:dyDescent="0.2">
      <c r="A10" s="33" t="s">
        <v>38</v>
      </c>
      <c r="B10" s="27"/>
      <c r="C10" s="27" t="s">
        <v>39</v>
      </c>
      <c r="D10" s="25" t="s">
        <v>23</v>
      </c>
      <c r="E10" s="26">
        <v>73.290000000000006</v>
      </c>
      <c r="F10" s="28"/>
      <c r="G10" s="28">
        <f>ROUND(М[[#This Row],[Количество]]*М[[#This Row],[Цена за ед., руб]],2)</f>
        <v>0</v>
      </c>
      <c r="H10" s="27"/>
      <c r="I10" s="34" t="s">
        <v>108</v>
      </c>
    </row>
    <row r="11" spans="1:9" ht="23.1" customHeight="1" x14ac:dyDescent="0.2">
      <c r="A11" s="33" t="s">
        <v>41</v>
      </c>
      <c r="B11" s="27"/>
      <c r="C11" s="27" t="s">
        <v>83</v>
      </c>
      <c r="D11" s="25" t="s">
        <v>43</v>
      </c>
      <c r="E11" s="32">
        <v>1264</v>
      </c>
      <c r="F11" s="28"/>
      <c r="G11" s="28">
        <f>ROUND(М[[#This Row],[Количество]]*М[[#This Row],[Цена за ед., руб]],2)</f>
        <v>0</v>
      </c>
      <c r="H11" s="27"/>
      <c r="I11" s="34" t="s">
        <v>108</v>
      </c>
    </row>
    <row r="12" spans="1:9" ht="11.1" customHeight="1" x14ac:dyDescent="0.2">
      <c r="A12" s="33" t="s">
        <v>41</v>
      </c>
      <c r="B12" s="27"/>
      <c r="C12" s="27" t="s">
        <v>42</v>
      </c>
      <c r="D12" s="25" t="s">
        <v>43</v>
      </c>
      <c r="E12" s="30">
        <v>685</v>
      </c>
      <c r="F12" s="28"/>
      <c r="G12" s="28">
        <f>ROUND(М[[#This Row],[Количество]]*М[[#This Row],[Цена за ед., руб]],2)</f>
        <v>0</v>
      </c>
      <c r="H12" s="27"/>
      <c r="I12" s="34" t="s">
        <v>108</v>
      </c>
    </row>
    <row r="13" spans="1:9" ht="11.1" customHeight="1" x14ac:dyDescent="0.2">
      <c r="A13" s="33" t="s">
        <v>45</v>
      </c>
      <c r="B13" s="27"/>
      <c r="C13" s="27" t="s">
        <v>46</v>
      </c>
      <c r="D13" s="25" t="s">
        <v>23</v>
      </c>
      <c r="E13" s="26">
        <v>219.66</v>
      </c>
      <c r="F13" s="28"/>
      <c r="G13" s="28">
        <f>ROUND(М[[#This Row],[Количество]]*М[[#This Row],[Цена за ед., руб]],2)</f>
        <v>0</v>
      </c>
      <c r="H13" s="27"/>
      <c r="I13" s="34" t="s">
        <v>108</v>
      </c>
    </row>
    <row r="14" spans="1:9" ht="11.1" customHeight="1" x14ac:dyDescent="0.2">
      <c r="A14" s="33" t="s">
        <v>48</v>
      </c>
      <c r="B14" s="27"/>
      <c r="C14" s="27" t="s">
        <v>49</v>
      </c>
      <c r="D14" s="25" t="s">
        <v>23</v>
      </c>
      <c r="E14" s="26">
        <v>1.91</v>
      </c>
      <c r="F14" s="28"/>
      <c r="G14" s="28">
        <f>ROUND(М[[#This Row],[Количество]]*М[[#This Row],[Цена за ед., руб]],2)</f>
        <v>0</v>
      </c>
      <c r="H14" s="27"/>
      <c r="I14" s="34" t="s">
        <v>108</v>
      </c>
    </row>
    <row r="15" spans="1:9" ht="11.1" customHeight="1" x14ac:dyDescent="0.2">
      <c r="A15" s="33" t="s">
        <v>55</v>
      </c>
      <c r="B15" s="27"/>
      <c r="C15" s="27" t="s">
        <v>56</v>
      </c>
      <c r="D15" s="25" t="s">
        <v>23</v>
      </c>
      <c r="E15" s="26">
        <v>13.08</v>
      </c>
      <c r="F15" s="28"/>
      <c r="G15" s="28">
        <f>ROUND(М[[#This Row],[Количество]]*М[[#This Row],[Цена за ед., руб]],2)</f>
        <v>0</v>
      </c>
      <c r="H15" s="27"/>
      <c r="I15" s="34" t="s">
        <v>108</v>
      </c>
    </row>
    <row r="16" spans="1:9" ht="11.1" customHeight="1" x14ac:dyDescent="0.2">
      <c r="A16" s="33" t="s">
        <v>55</v>
      </c>
      <c r="B16" s="27"/>
      <c r="C16" s="27" t="s">
        <v>68</v>
      </c>
      <c r="D16" s="25" t="s">
        <v>23</v>
      </c>
      <c r="E16" s="26">
        <v>4.72</v>
      </c>
      <c r="F16" s="28"/>
      <c r="G16" s="28">
        <f>ROUND(М[[#This Row],[Количество]]*М[[#This Row],[Цена за ед., руб]],2)</f>
        <v>0</v>
      </c>
      <c r="H16" s="27"/>
      <c r="I16" s="34" t="s">
        <v>108</v>
      </c>
    </row>
    <row r="17" spans="1:9" ht="11.1" customHeight="1" x14ac:dyDescent="0.2">
      <c r="A17" s="33" t="s">
        <v>55</v>
      </c>
      <c r="B17" s="27"/>
      <c r="C17" s="27" t="s">
        <v>78</v>
      </c>
      <c r="D17" s="25" t="s">
        <v>23</v>
      </c>
      <c r="E17" s="28">
        <v>7050.13</v>
      </c>
      <c r="F17" s="28"/>
      <c r="G17" s="28">
        <f>ROUND(М[[#This Row],[Количество]]*М[[#This Row],[Цена за ед., руб]],2)</f>
        <v>0</v>
      </c>
      <c r="H17" s="27"/>
      <c r="I17" s="34" t="s">
        <v>108</v>
      </c>
    </row>
    <row r="18" spans="1:9" ht="11.1" customHeight="1" x14ac:dyDescent="0.2">
      <c r="A18" s="33" t="s">
        <v>55</v>
      </c>
      <c r="B18" s="27"/>
      <c r="C18" s="27" t="s">
        <v>57</v>
      </c>
      <c r="D18" s="25" t="s">
        <v>23</v>
      </c>
      <c r="E18" s="26">
        <v>769.31</v>
      </c>
      <c r="F18" s="28"/>
      <c r="G18" s="28">
        <f>ROUND(М[[#This Row],[Количество]]*М[[#This Row],[Цена за ед., руб]],2)</f>
        <v>0</v>
      </c>
      <c r="H18" s="27"/>
      <c r="I18" s="34" t="s">
        <v>108</v>
      </c>
    </row>
    <row r="19" spans="1:9" ht="11.1" customHeight="1" x14ac:dyDescent="0.2">
      <c r="A19" s="33" t="s">
        <v>55</v>
      </c>
      <c r="B19" s="27"/>
      <c r="C19" s="27" t="s">
        <v>58</v>
      </c>
      <c r="D19" s="25" t="s">
        <v>23</v>
      </c>
      <c r="E19" s="26">
        <v>204.17</v>
      </c>
      <c r="F19" s="28"/>
      <c r="G19" s="28">
        <f>ROUND(М[[#This Row],[Количество]]*М[[#This Row],[Цена за ед., руб]],2)</f>
        <v>0</v>
      </c>
      <c r="H19" s="27"/>
      <c r="I19" s="34" t="s">
        <v>108</v>
      </c>
    </row>
    <row r="20" spans="1:9" ht="11.1" customHeight="1" x14ac:dyDescent="0.2">
      <c r="A20" s="33" t="s">
        <v>55</v>
      </c>
      <c r="B20" s="27"/>
      <c r="C20" s="27" t="s">
        <v>79</v>
      </c>
      <c r="D20" s="25" t="s">
        <v>23</v>
      </c>
      <c r="E20" s="28">
        <v>5964.34</v>
      </c>
      <c r="F20" s="28"/>
      <c r="G20" s="28">
        <f>ROUND(М[[#This Row],[Количество]]*М[[#This Row],[Цена за ед., руб]],2)</f>
        <v>0</v>
      </c>
      <c r="H20" s="27"/>
      <c r="I20" s="34" t="s">
        <v>108</v>
      </c>
    </row>
    <row r="21" spans="1:9" ht="11.1" customHeight="1" x14ac:dyDescent="0.2">
      <c r="A21" s="33" t="s">
        <v>60</v>
      </c>
      <c r="B21" s="27"/>
      <c r="C21" s="27" t="s">
        <v>88</v>
      </c>
      <c r="D21" s="25" t="s">
        <v>23</v>
      </c>
      <c r="E21" s="26">
        <v>18.739999999999998</v>
      </c>
      <c r="F21" s="28"/>
      <c r="G21" s="28">
        <f>ROUND(М[[#This Row],[Количество]]*М[[#This Row],[Цена за ед., руб]],2)</f>
        <v>0</v>
      </c>
      <c r="H21" s="27" t="s">
        <v>89</v>
      </c>
      <c r="I21" s="34" t="s">
        <v>108</v>
      </c>
    </row>
    <row r="22" spans="1:9" ht="11.1" customHeight="1" x14ac:dyDescent="0.2">
      <c r="A22" s="33" t="s">
        <v>60</v>
      </c>
      <c r="B22" s="27"/>
      <c r="C22" s="27" t="s">
        <v>61</v>
      </c>
      <c r="D22" s="25" t="s">
        <v>23</v>
      </c>
      <c r="E22" s="26">
        <v>5.16</v>
      </c>
      <c r="F22" s="28"/>
      <c r="G22" s="28">
        <f>ROUND(М[[#This Row],[Количество]]*М[[#This Row],[Цена за ед., руб]],2)</f>
        <v>0</v>
      </c>
      <c r="H22" s="27" t="s">
        <v>62</v>
      </c>
      <c r="I22" s="34" t="s">
        <v>108</v>
      </c>
    </row>
    <row r="23" spans="1:9" ht="11.1" customHeight="1" x14ac:dyDescent="0.2">
      <c r="A23" s="33" t="s">
        <v>60</v>
      </c>
      <c r="B23" s="27"/>
      <c r="C23" s="27" t="s">
        <v>69</v>
      </c>
      <c r="D23" s="25" t="s">
        <v>23</v>
      </c>
      <c r="E23" s="26">
        <v>0.72</v>
      </c>
      <c r="F23" s="28"/>
      <c r="G23" s="28">
        <f>ROUND(М[[#This Row],[Количество]]*М[[#This Row],[Цена за ед., руб]],2)</f>
        <v>0</v>
      </c>
      <c r="H23" s="27" t="s">
        <v>70</v>
      </c>
      <c r="I23" s="34" t="s">
        <v>108</v>
      </c>
    </row>
    <row r="24" spans="1:9" ht="11.1" customHeight="1" x14ac:dyDescent="0.2">
      <c r="A24" s="33" t="s">
        <v>60</v>
      </c>
      <c r="B24" s="27"/>
      <c r="C24" s="27" t="s">
        <v>69</v>
      </c>
      <c r="D24" s="25" t="s">
        <v>23</v>
      </c>
      <c r="E24" s="26">
        <v>77.11</v>
      </c>
      <c r="F24" s="28"/>
      <c r="G24" s="28">
        <f>ROUND(М[[#This Row],[Количество]]*М[[#This Row],[Цена за ед., руб]],2)</f>
        <v>0</v>
      </c>
      <c r="H24" s="27" t="s">
        <v>80</v>
      </c>
      <c r="I24" s="34" t="s">
        <v>108</v>
      </c>
    </row>
    <row r="25" spans="1:9" ht="11.1" customHeight="1" x14ac:dyDescent="0.2">
      <c r="A25" s="33" t="s">
        <v>60</v>
      </c>
      <c r="B25" s="27"/>
      <c r="C25" s="27" t="s">
        <v>84</v>
      </c>
      <c r="D25" s="25" t="s">
        <v>23</v>
      </c>
      <c r="E25" s="26">
        <v>435.08</v>
      </c>
      <c r="F25" s="28"/>
      <c r="G25" s="28">
        <f>ROUND(М[[#This Row],[Количество]]*М[[#This Row],[Цена за ед., руб]],2)</f>
        <v>0</v>
      </c>
      <c r="H25" s="27" t="s">
        <v>85</v>
      </c>
      <c r="I25" s="34" t="s">
        <v>108</v>
      </c>
    </row>
    <row r="26" spans="1:9" ht="11.1" customHeight="1" x14ac:dyDescent="0.2">
      <c r="A26" s="37" t="s">
        <v>64</v>
      </c>
      <c r="B26" s="45"/>
      <c r="C26" s="45" t="s">
        <v>65</v>
      </c>
      <c r="D26" s="38" t="s">
        <v>23</v>
      </c>
      <c r="E26" s="46">
        <v>241.43</v>
      </c>
      <c r="F26" s="28"/>
      <c r="G26" s="43">
        <f>ROUND(М[[#This Row],[Количество]]*М[[#This Row],[Цена за ед., руб]],2)</f>
        <v>0</v>
      </c>
      <c r="H26" s="45"/>
      <c r="I26" s="40" t="s">
        <v>108</v>
      </c>
    </row>
    <row r="27" spans="1:9" ht="11.45" customHeight="1" x14ac:dyDescent="0.2">
      <c r="A27" s="37" t="s">
        <v>113</v>
      </c>
      <c r="B27" s="45"/>
      <c r="C27" s="45"/>
      <c r="D27" s="38"/>
      <c r="E27" s="53"/>
      <c r="F27" s="43" t="s">
        <v>124</v>
      </c>
      <c r="G27" s="43">
        <f>SUBTOTAL(109,М[Сумма, руб])</f>
        <v>0</v>
      </c>
      <c r="H27" s="45"/>
      <c r="I27" s="40"/>
    </row>
    <row r="28" spans="1:9" ht="11.45" customHeight="1" x14ac:dyDescent="0.2">
      <c r="F28" s="54" t="s">
        <v>125</v>
      </c>
      <c r="G28" s="55">
        <f>М[[#Totals],[Сумма, руб]]-ЛСР!J109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26" xr:uid="{B555F359-624C-4EAD-A35E-DAB76FA81729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109</v>
      </c>
      <c r="B1" s="1" t="s">
        <v>110</v>
      </c>
    </row>
    <row r="2" spans="1:2" ht="11.1" customHeight="1" x14ac:dyDescent="0.2">
      <c r="A2" s="1" t="s">
        <v>111</v>
      </c>
      <c r="B2" s="1" t="s">
        <v>112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Вознев Владимир Петрович</cp:lastModifiedBy>
  <dcterms:modified xsi:type="dcterms:W3CDTF">2026-05-18T12:32:10Z</dcterms:modified>
</cp:coreProperties>
</file>