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ЖК Прео\ПРЕО 8\06. Металлические изделия\"/>
    </mc:Choice>
  </mc:AlternateContent>
  <xr:revisionPtr revIDLastSave="0" documentId="13_ncr:1_{A0CAFCA0-E71A-4192-BA29-F2DD6EF8BC3D}" xr6:coauthVersionLast="47" xr6:coauthVersionMax="47" xr10:uidLastSave="{00000000-0000-0000-0000-000000000000}"/>
  <bookViews>
    <workbookView xWindow="-120" yWindow="-120" windowWidth="38640" windowHeight="21240" activeTab="2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I13" i="1" l="1"/>
  <c r="J13" i="1" a="1"/>
  <c r="J13" i="1" s="1"/>
  <c r="K13" i="1" s="1"/>
  <c r="K12" i="1" s="1"/>
  <c r="I15" i="1"/>
  <c r="M15" i="1" a="1"/>
  <c r="M15" i="1" s="1"/>
  <c r="J15" i="1" a="1"/>
  <c r="J15" i="1" s="1"/>
  <c r="K15" i="1" s="1"/>
  <c r="I16" i="1"/>
  <c r="M16" i="1" a="1"/>
  <c r="M16" i="1" s="1"/>
  <c r="J16" i="1" a="1"/>
  <c r="J16" i="1" s="1"/>
  <c r="K16" i="1" s="1"/>
  <c r="I17" i="1"/>
  <c r="M17" i="1" a="1"/>
  <c r="M17" i="1" s="1"/>
  <c r="J17" i="1" a="1"/>
  <c r="J17" i="1" s="1"/>
  <c r="K17" i="1" s="1"/>
  <c r="I18" i="1"/>
  <c r="M18" i="1" a="1"/>
  <c r="M18" i="1"/>
  <c r="J18" i="1" a="1"/>
  <c r="J18" i="1" s="1"/>
  <c r="K18" i="1" s="1"/>
  <c r="I19" i="1"/>
  <c r="M19" i="1" a="1"/>
  <c r="M19" i="1"/>
  <c r="J19" i="1" a="1"/>
  <c r="J19" i="1" s="1"/>
  <c r="K19" i="1" s="1"/>
  <c r="I20" i="1"/>
  <c r="M20" i="1" a="1"/>
  <c r="M20" i="1"/>
  <c r="J20" i="1" a="1"/>
  <c r="J20" i="1" s="1"/>
  <c r="K20" i="1" s="1"/>
  <c r="I21" i="1"/>
  <c r="M21" i="1" a="1"/>
  <c r="M21" i="1"/>
  <c r="J21" i="1" a="1"/>
  <c r="J21" i="1" s="1"/>
  <c r="K21" i="1" s="1"/>
  <c r="I25" i="1"/>
  <c r="J25" i="1" a="1"/>
  <c r="J25" i="1" s="1"/>
  <c r="K25" i="1" s="1"/>
  <c r="K24" i="1" s="1"/>
  <c r="I27" i="1"/>
  <c r="M27" i="1" a="1"/>
  <c r="M27" i="1" s="1"/>
  <c r="J27" i="1" a="1"/>
  <c r="J27" i="1" s="1"/>
  <c r="K27" i="1" s="1"/>
  <c r="I28" i="1"/>
  <c r="M28" i="1" a="1"/>
  <c r="M28" i="1" s="1"/>
  <c r="J28" i="1" a="1"/>
  <c r="J28" i="1" s="1"/>
  <c r="K28" i="1" s="1"/>
  <c r="I29" i="1"/>
  <c r="M29" i="1" a="1"/>
  <c r="M29" i="1" s="1"/>
  <c r="J29" i="1" a="1"/>
  <c r="J29" i="1" s="1"/>
  <c r="K29" i="1" s="1"/>
  <c r="I30" i="1"/>
  <c r="M30" i="1" a="1"/>
  <c r="M30" i="1"/>
  <c r="J30" i="1" a="1"/>
  <c r="J30" i="1" s="1"/>
  <c r="K30" i="1" s="1"/>
  <c r="I31" i="1"/>
  <c r="M31" i="1" a="1"/>
  <c r="M31" i="1"/>
  <c r="J31" i="1" a="1"/>
  <c r="J31" i="1" s="1"/>
  <c r="K31" i="1" s="1"/>
  <c r="I32" i="1"/>
  <c r="M32" i="1" a="1"/>
  <c r="M32" i="1" s="1"/>
  <c r="J32" i="1" a="1"/>
  <c r="J32" i="1" s="1"/>
  <c r="K32" i="1" s="1"/>
  <c r="I33" i="1"/>
  <c r="M33" i="1" a="1"/>
  <c r="M33" i="1" s="1"/>
  <c r="J33" i="1" a="1"/>
  <c r="J33" i="1" s="1"/>
  <c r="K33" i="1" s="1"/>
  <c r="I34" i="1"/>
  <c r="M34" i="1" a="1"/>
  <c r="M34" i="1" s="1"/>
  <c r="J34" i="1" a="1"/>
  <c r="J34" i="1" s="1"/>
  <c r="K34" i="1" s="1"/>
  <c r="I35" i="1"/>
  <c r="M35" i="1" a="1"/>
  <c r="M35" i="1" s="1"/>
  <c r="J35" i="1" a="1"/>
  <c r="J35" i="1" s="1"/>
  <c r="K35" i="1" s="1"/>
  <c r="I37" i="1"/>
  <c r="J37" i="1" a="1"/>
  <c r="J37" i="1" s="1"/>
  <c r="K37" i="1" s="1"/>
  <c r="K36" i="1" s="1"/>
  <c r="I39" i="1"/>
  <c r="M39" i="1" a="1"/>
  <c r="M39" i="1" s="1"/>
  <c r="J39" i="1" a="1"/>
  <c r="J39" i="1" s="1"/>
  <c r="K39" i="1" s="1"/>
  <c r="I40" i="1"/>
  <c r="M40" i="1" a="1"/>
  <c r="M40" i="1" s="1"/>
  <c r="J40" i="1" a="1"/>
  <c r="J40" i="1" s="1"/>
  <c r="K40" i="1" s="1"/>
  <c r="I41" i="1"/>
  <c r="M41" i="1" a="1"/>
  <c r="M41" i="1"/>
  <c r="J41" i="1" a="1"/>
  <c r="J41" i="1" s="1"/>
  <c r="K41" i="1" s="1"/>
  <c r="I42" i="1"/>
  <c r="M42" i="1" a="1"/>
  <c r="M42" i="1" s="1"/>
  <c r="J42" i="1" a="1"/>
  <c r="J42" i="1" s="1"/>
  <c r="K42" i="1" s="1"/>
  <c r="I43" i="1"/>
  <c r="M43" i="1" a="1"/>
  <c r="M43" i="1" s="1"/>
  <c r="J43" i="1" a="1"/>
  <c r="J43" i="1" s="1"/>
  <c r="K43" i="1" s="1"/>
  <c r="I44" i="1"/>
  <c r="M44" i="1" a="1"/>
  <c r="M44" i="1" s="1"/>
  <c r="J44" i="1" a="1"/>
  <c r="J44" i="1" s="1"/>
  <c r="K44" i="1" s="1"/>
  <c r="I45" i="1"/>
  <c r="M45" i="1" a="1"/>
  <c r="M45" i="1" s="1"/>
  <c r="J45" i="1" a="1"/>
  <c r="J45" i="1" s="1"/>
  <c r="K45" i="1" s="1"/>
  <c r="I46" i="1"/>
  <c r="M46" i="1" a="1"/>
  <c r="M46" i="1"/>
  <c r="J46" i="1" a="1"/>
  <c r="J46" i="1" s="1"/>
  <c r="K46" i="1" s="1"/>
  <c r="I47" i="1"/>
  <c r="M47" i="1" a="1"/>
  <c r="M47" i="1"/>
  <c r="J47" i="1" a="1"/>
  <c r="J47" i="1" s="1"/>
  <c r="K47" i="1" s="1"/>
  <c r="I48" i="1"/>
  <c r="M48" i="1" a="1"/>
  <c r="M48" i="1"/>
  <c r="J48" i="1" a="1"/>
  <c r="J48" i="1" s="1"/>
  <c r="K48" i="1" s="1"/>
  <c r="I49" i="1"/>
  <c r="M49" i="1" a="1"/>
  <c r="M49" i="1" s="1"/>
  <c r="J49" i="1" a="1"/>
  <c r="J49" i="1" s="1"/>
  <c r="K49" i="1" s="1"/>
  <c r="I51" i="1"/>
  <c r="J51" i="1" a="1"/>
  <c r="J51" i="1" s="1"/>
  <c r="K51" i="1" s="1"/>
  <c r="K50" i="1" s="1"/>
  <c r="I53" i="1"/>
  <c r="M53" i="1" a="1"/>
  <c r="M53" i="1"/>
  <c r="J53" i="1" a="1"/>
  <c r="J53" i="1" s="1"/>
  <c r="K53" i="1" s="1"/>
  <c r="I54" i="1"/>
  <c r="M54" i="1" a="1"/>
  <c r="M54" i="1" s="1"/>
  <c r="J54" i="1" a="1"/>
  <c r="J54" i="1" s="1"/>
  <c r="K54" i="1" s="1"/>
  <c r="I55" i="1"/>
  <c r="M55" i="1" a="1"/>
  <c r="M55" i="1" s="1"/>
  <c r="J55" i="1" a="1"/>
  <c r="J55" i="1" s="1"/>
  <c r="K55" i="1" s="1"/>
  <c r="I56" i="1"/>
  <c r="M56" i="1" a="1"/>
  <c r="M56" i="1" s="1"/>
  <c r="J56" i="1" a="1"/>
  <c r="J56" i="1" s="1"/>
  <c r="K56" i="1" s="1"/>
  <c r="I57" i="1"/>
  <c r="M57" i="1" a="1"/>
  <c r="M57" i="1" s="1"/>
  <c r="J57" i="1" a="1"/>
  <c r="J57" i="1" s="1"/>
  <c r="K57" i="1" s="1"/>
  <c r="I58" i="1"/>
  <c r="M58" i="1" a="1"/>
  <c r="M58" i="1"/>
  <c r="J58" i="1" a="1"/>
  <c r="J58" i="1" s="1"/>
  <c r="K58" i="1" s="1"/>
  <c r="I59" i="1"/>
  <c r="M59" i="1" a="1"/>
  <c r="M59" i="1"/>
  <c r="J59" i="1" a="1"/>
  <c r="J59" i="1" s="1"/>
  <c r="K59" i="1" s="1"/>
  <c r="I60" i="1"/>
  <c r="M60" i="1" a="1"/>
  <c r="M60" i="1"/>
  <c r="J60" i="1" a="1"/>
  <c r="J60" i="1" s="1"/>
  <c r="K60" i="1" s="1"/>
  <c r="I61" i="1"/>
  <c r="M61" i="1" a="1"/>
  <c r="M61" i="1" s="1"/>
  <c r="J61" i="1" a="1"/>
  <c r="J61" i="1" s="1"/>
  <c r="K61" i="1" s="1"/>
  <c r="I62" i="1"/>
  <c r="M62" i="1" a="1"/>
  <c r="M62" i="1" s="1"/>
  <c r="J62" i="1" a="1"/>
  <c r="J62" i="1" s="1"/>
  <c r="K62" i="1" s="1"/>
  <c r="I63" i="1"/>
  <c r="M63" i="1" a="1"/>
  <c r="M63" i="1" s="1"/>
  <c r="J63" i="1" a="1"/>
  <c r="J63" i="1" s="1"/>
  <c r="K63" i="1" s="1"/>
  <c r="I64" i="1"/>
  <c r="M64" i="1" a="1"/>
  <c r="M64" i="1" s="1"/>
  <c r="J64" i="1" a="1"/>
  <c r="J64" i="1" s="1"/>
  <c r="K64" i="1" s="1"/>
  <c r="I66" i="1"/>
  <c r="J66" i="1" a="1"/>
  <c r="J66" i="1" s="1"/>
  <c r="K66" i="1" s="1"/>
  <c r="K65" i="1" s="1"/>
  <c r="I68" i="1"/>
  <c r="M68" i="1" a="1"/>
  <c r="M68" i="1"/>
  <c r="J68" i="1" a="1"/>
  <c r="J68" i="1" s="1"/>
  <c r="K68" i="1" s="1"/>
  <c r="I69" i="1"/>
  <c r="M69" i="1" a="1"/>
  <c r="M69" i="1"/>
  <c r="J69" i="1" a="1"/>
  <c r="J69" i="1" s="1"/>
  <c r="K69" i="1" s="1"/>
  <c r="I70" i="1"/>
  <c r="M70" i="1" a="1"/>
  <c r="M70" i="1"/>
  <c r="J70" i="1" a="1"/>
  <c r="J70" i="1" s="1"/>
  <c r="K70" i="1" s="1"/>
  <c r="I71" i="1"/>
  <c r="M71" i="1" a="1"/>
  <c r="M71" i="1" s="1"/>
  <c r="J71" i="1" a="1"/>
  <c r="J71" i="1" s="1"/>
  <c r="K71" i="1" s="1"/>
  <c r="I72" i="1"/>
  <c r="M72" i="1" a="1"/>
  <c r="M72" i="1" s="1"/>
  <c r="J72" i="1" a="1"/>
  <c r="J72" i="1" s="1"/>
  <c r="K72" i="1" s="1"/>
  <c r="I74" i="1"/>
  <c r="J74" i="1" a="1"/>
  <c r="J74" i="1" s="1"/>
  <c r="K74" i="1" s="1"/>
  <c r="K73" i="1" s="1"/>
  <c r="I76" i="1"/>
  <c r="M76" i="1" a="1"/>
  <c r="M76" i="1" s="1"/>
  <c r="J76" i="1" a="1"/>
  <c r="J76" i="1" s="1"/>
  <c r="K76" i="1" s="1"/>
  <c r="I77" i="1"/>
  <c r="M77" i="1" a="1"/>
  <c r="M77" i="1" s="1"/>
  <c r="J77" i="1" a="1"/>
  <c r="J77" i="1" s="1"/>
  <c r="K77" i="1" s="1"/>
  <c r="I78" i="1"/>
  <c r="M78" i="1" a="1"/>
  <c r="M78" i="1" s="1"/>
  <c r="J78" i="1" a="1"/>
  <c r="J78" i="1" s="1"/>
  <c r="K78" i="1" s="1"/>
  <c r="I79" i="1"/>
  <c r="M79" i="1" a="1"/>
  <c r="M79" i="1"/>
  <c r="J79" i="1" a="1"/>
  <c r="J79" i="1" s="1"/>
  <c r="K79" i="1" s="1"/>
  <c r="I80" i="1"/>
  <c r="M80" i="1" a="1"/>
  <c r="M80" i="1"/>
  <c r="J80" i="1" a="1"/>
  <c r="J80" i="1" s="1"/>
  <c r="K80" i="1" s="1"/>
  <c r="I82" i="1"/>
  <c r="J82" i="1" a="1"/>
  <c r="J82" i="1" s="1"/>
  <c r="K82" i="1" s="1"/>
  <c r="K81" i="1" s="1"/>
  <c r="I84" i="1"/>
  <c r="M84" i="1" a="1"/>
  <c r="M84" i="1"/>
  <c r="J84" i="1" a="1"/>
  <c r="J84" i="1" s="1"/>
  <c r="K84" i="1" s="1"/>
  <c r="I85" i="1"/>
  <c r="M85" i="1" a="1"/>
  <c r="M85" i="1"/>
  <c r="J85" i="1" a="1"/>
  <c r="J85" i="1" s="1"/>
  <c r="K85" i="1" s="1"/>
  <c r="I86" i="1"/>
  <c r="M86" i="1" a="1"/>
  <c r="M86" i="1"/>
  <c r="J86" i="1" a="1"/>
  <c r="J86" i="1" s="1"/>
  <c r="K86" i="1" s="1"/>
  <c r="I87" i="1"/>
  <c r="M87" i="1" a="1"/>
  <c r="M87" i="1"/>
  <c r="J87" i="1" a="1"/>
  <c r="J87" i="1" s="1"/>
  <c r="K87" i="1" s="1"/>
  <c r="I88" i="1"/>
  <c r="M88" i="1" a="1"/>
  <c r="M88" i="1" s="1"/>
  <c r="J88" i="1" a="1"/>
  <c r="J88" i="1" s="1"/>
  <c r="K88" i="1" s="1"/>
  <c r="I90" i="1"/>
  <c r="J90" i="1" a="1"/>
  <c r="J90" i="1" s="1"/>
  <c r="K90" i="1" s="1"/>
  <c r="K89" i="1" s="1"/>
  <c r="I92" i="1"/>
  <c r="M92" i="1" a="1"/>
  <c r="M92" i="1" s="1"/>
  <c r="J92" i="1" a="1"/>
  <c r="J92" i="1" s="1"/>
  <c r="K92" i="1" s="1"/>
  <c r="I93" i="1"/>
  <c r="M93" i="1" a="1"/>
  <c r="M93" i="1" s="1"/>
  <c r="J93" i="1" a="1"/>
  <c r="J93" i="1" s="1"/>
  <c r="K93" i="1" s="1"/>
  <c r="I94" i="1"/>
  <c r="M94" i="1" a="1"/>
  <c r="M94" i="1" s="1"/>
  <c r="J94" i="1" a="1"/>
  <c r="J94" i="1" s="1"/>
  <c r="K94" i="1" s="1"/>
  <c r="I95" i="1"/>
  <c r="M95" i="1" a="1"/>
  <c r="M95" i="1" s="1"/>
  <c r="J95" i="1" a="1"/>
  <c r="J95" i="1" s="1"/>
  <c r="K95" i="1" s="1"/>
  <c r="I96" i="1"/>
  <c r="M96" i="1" a="1"/>
  <c r="M96" i="1"/>
  <c r="J96" i="1" a="1"/>
  <c r="J96" i="1" s="1"/>
  <c r="K96" i="1" s="1"/>
  <c r="I98" i="1"/>
  <c r="J98" i="1" a="1"/>
  <c r="J98" i="1" s="1"/>
  <c r="K98" i="1" s="1"/>
  <c r="K97" i="1" s="1"/>
  <c r="I100" i="1"/>
  <c r="M100" i="1" a="1"/>
  <c r="M100" i="1"/>
  <c r="J100" i="1" a="1"/>
  <c r="J100" i="1" s="1"/>
  <c r="K100" i="1" s="1"/>
  <c r="I101" i="1"/>
  <c r="M101" i="1" a="1"/>
  <c r="M101" i="1"/>
  <c r="J101" i="1" a="1"/>
  <c r="J101" i="1" s="1"/>
  <c r="K101" i="1" s="1"/>
  <c r="I102" i="1"/>
  <c r="M102" i="1" a="1"/>
  <c r="M102" i="1"/>
  <c r="J102" i="1" a="1"/>
  <c r="J102" i="1" s="1"/>
  <c r="K102" i="1" s="1"/>
  <c r="I103" i="1"/>
  <c r="M103" i="1" a="1"/>
  <c r="M103" i="1" s="1"/>
  <c r="J103" i="1" a="1"/>
  <c r="J103" i="1" s="1"/>
  <c r="K103" i="1" s="1"/>
  <c r="I104" i="1"/>
  <c r="M104" i="1" a="1"/>
  <c r="M104" i="1" s="1"/>
  <c r="J104" i="1" a="1"/>
  <c r="J104" i="1" s="1"/>
  <c r="K104" i="1" s="1"/>
  <c r="I108" i="1"/>
  <c r="J108" i="1" a="1"/>
  <c r="J108" i="1" s="1"/>
  <c r="K108" i="1" s="1"/>
  <c r="K107" i="1" s="1"/>
  <c r="I110" i="1"/>
  <c r="M110" i="1" a="1"/>
  <c r="M110" i="1" s="1"/>
  <c r="J110" i="1" a="1"/>
  <c r="J110" i="1" s="1"/>
  <c r="K110" i="1" s="1"/>
  <c r="I111" i="1"/>
  <c r="M111" i="1" a="1"/>
  <c r="M111" i="1" s="1"/>
  <c r="J111" i="1" a="1"/>
  <c r="J111" i="1" s="1"/>
  <c r="K111" i="1" s="1"/>
  <c r="I112" i="1"/>
  <c r="M112" i="1" a="1"/>
  <c r="M112" i="1"/>
  <c r="J112" i="1" a="1"/>
  <c r="J112" i="1" s="1"/>
  <c r="K112" i="1" s="1"/>
  <c r="I113" i="1"/>
  <c r="M113" i="1" a="1"/>
  <c r="M113" i="1"/>
  <c r="J113" i="1" a="1"/>
  <c r="J113" i="1" s="1"/>
  <c r="K113" i="1" s="1"/>
  <c r="I114" i="1"/>
  <c r="M114" i="1" a="1"/>
  <c r="M114" i="1"/>
  <c r="J114" i="1" a="1"/>
  <c r="J114" i="1" s="1"/>
  <c r="K114" i="1" s="1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3" i="2"/>
  <c r="E12" i="2"/>
  <c r="E11" i="2"/>
  <c r="E10" i="2"/>
  <c r="E9" i="2"/>
  <c r="E8" i="2"/>
  <c r="E7" i="2"/>
  <c r="E6" i="2"/>
  <c r="E5" i="2"/>
  <c r="E4" i="2"/>
  <c r="K83" i="1" l="1"/>
  <c r="K116" i="1"/>
  <c r="K26" i="1"/>
  <c r="K91" i="1"/>
  <c r="K75" i="1"/>
  <c r="K99" i="1"/>
  <c r="K109" i="1"/>
  <c r="K67" i="1"/>
  <c r="K52" i="1"/>
  <c r="K38" i="1"/>
  <c r="K23" i="1"/>
  <c r="K22" i="1" s="1"/>
  <c r="K14" i="1"/>
  <c r="G24" i="3"/>
  <c r="E14" i="2"/>
  <c r="K106" i="1" l="1"/>
  <c r="K105" i="1" s="1"/>
  <c r="K117" i="1"/>
  <c r="G25" i="3" s="1"/>
  <c r="E15" i="2"/>
  <c r="K11" i="1"/>
  <c r="K10" i="1" s="1"/>
  <c r="K9" i="1" l="1"/>
  <c r="K115" i="1" s="1"/>
</calcChain>
</file>

<file path=xl/sharedStrings.xml><?xml version="1.0" encoding="utf-8"?>
<sst xmlns="http://schemas.openxmlformats.org/spreadsheetml/2006/main" count="525" uniqueCount="131">
  <si>
    <t>Объект: «Жилой район «Преображенский» в г. Тюмени. Квартал 8. Участок 72:17:1313004:1005. Многоэтажный жилой дом с нежилыми помещениями ГП-72.214» Секция 1, 2</t>
  </si>
  <si>
    <t>Ведомость объемов работ и расхода материалов по работе: Изготовление и монтаж металлических изделий и сопутствующим работам (согласно проекту шифр АС,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</si>
  <si>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</si>
  <si>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</si>
  <si>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</si>
  <si>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</si>
  <si>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</si>
  <si>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</si>
  <si>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</si>
  <si>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</si>
  <si>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</si>
  <si>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</si>
  <si>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</si>
  <si>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</si>
  <si>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</si>
  <si>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06</t>
  </si>
  <si>
    <t>Металлические изделия</t>
  </si>
  <si>
    <t>06.01</t>
  </si>
  <si>
    <t>Изготовление и монтаж металлических изделий</t>
  </si>
  <si>
    <t>06.01.01</t>
  </si>
  <si>
    <t>Стремянки</t>
  </si>
  <si>
    <t>06.01.01.00</t>
  </si>
  <si>
    <t>Работы:</t>
  </si>
  <si>
    <t>Изготовление, монтаж и окраска металлических стремянок С-1</t>
  </si>
  <si>
    <t>кг</t>
  </si>
  <si>
    <t>Выход на кровлю</t>
  </si>
  <si>
    <t>Материалы:</t>
  </si>
  <si>
    <t>1</t>
  </si>
  <si>
    <t>Арматура</t>
  </si>
  <si>
    <t>А500С Ø18 ГОСТ 34028-2016</t>
  </si>
  <si>
    <t>т</t>
  </si>
  <si>
    <t>2</t>
  </si>
  <si>
    <t>Уголок стальной (кг.)</t>
  </si>
  <si>
    <t>75х75х5</t>
  </si>
  <si>
    <t>3</t>
  </si>
  <si>
    <t>Краска (л.)</t>
  </si>
  <si>
    <t>стирол-акриловая водная дисперсия полуматовая RAL7043</t>
  </si>
  <si>
    <t>л (дм3)</t>
  </si>
  <si>
    <t>4</t>
  </si>
  <si>
    <t>Грунтовка (кг.)</t>
  </si>
  <si>
    <t>алкидная ГФ-021</t>
  </si>
  <si>
    <t>5</t>
  </si>
  <si>
    <t>Болт (шт)</t>
  </si>
  <si>
    <t>БСР М10х100</t>
  </si>
  <si>
    <t>шт</t>
  </si>
  <si>
    <t>6</t>
  </si>
  <si>
    <t>Электроды</t>
  </si>
  <si>
    <t>Э42 Ø4мм</t>
  </si>
  <si>
    <t>7</t>
  </si>
  <si>
    <t>Пластина (кг.)</t>
  </si>
  <si>
    <t>стальная 100х100х6</t>
  </si>
  <si>
    <t>100х100х6</t>
  </si>
  <si>
    <t>06.01.02</t>
  </si>
  <si>
    <t>Ограждения</t>
  </si>
  <si>
    <t>06.01.02.00</t>
  </si>
  <si>
    <t>Изготовление, монтаж и окраска металлических ограждений (10-20кг)</t>
  </si>
  <si>
    <t>ОГ-5</t>
  </si>
  <si>
    <t>Труба профильная (кг.)</t>
  </si>
  <si>
    <t>10х10х1,5</t>
  </si>
  <si>
    <t>40х20х2</t>
  </si>
  <si>
    <t>15х15х1,5</t>
  </si>
  <si>
    <t>8</t>
  </si>
  <si>
    <t>Лист стальной (кг.)</t>
  </si>
  <si>
    <t>г/к 5мм ст3сп</t>
  </si>
  <si>
    <t>120х120х5</t>
  </si>
  <si>
    <t>9</t>
  </si>
  <si>
    <t>Труба электросварная (кг.)</t>
  </si>
  <si>
    <t>стальная Дн-51х1,5</t>
  </si>
  <si>
    <t>Изготовление, монтаж и окраска металлических ограждений (20-30кг)</t>
  </si>
  <si>
    <t>1 сек - ОГ-2, ОГ-4, ОГ-2.2
2 сек - ОГ-2, ОГ-4, ОГ-1.2*, ОГ-4.5, ОГ-5.1</t>
  </si>
  <si>
    <t>стирол-акриловая водная дисперсия полуматовая RAL9004</t>
  </si>
  <si>
    <t>40х40х2</t>
  </si>
  <si>
    <t>10</t>
  </si>
  <si>
    <t>г/к 4мм ст3сп</t>
  </si>
  <si>
    <t>50х50х4 - ОГ-2, 140х140х4, 50х70х4 - ОГ-2.2, ОГ-1.2*, ОГ-4.5, ОГ-5.1</t>
  </si>
  <si>
    <t>11</t>
  </si>
  <si>
    <t>Изготовление, монтаж и окраска металлических ограждений (30-40кг)</t>
  </si>
  <si>
    <t>1 сек - ОГ-1, ОГ-3, ОГ-4.1,
2 сек - ОГ-1, ОГ-3</t>
  </si>
  <si>
    <t>50х50х4 - ОГ-1, 140х140х4, 50х70х4- ОГ-4.1</t>
  </si>
  <si>
    <t>12</t>
  </si>
  <si>
    <t>Изготовление, монтаж и окраска металлических ограждений (50-60кг)</t>
  </si>
  <si>
    <t>ОГ-4.7</t>
  </si>
  <si>
    <t>40х40х3</t>
  </si>
  <si>
    <t>20х20х2</t>
  </si>
  <si>
    <t>Изготовление, монтаж и окраска металлических ограждений (70-80кг)</t>
  </si>
  <si>
    <t>ОГ-5.2</t>
  </si>
  <si>
    <t>Изготовление, монтаж и окраска металлических ограждений (80-90кг)</t>
  </si>
  <si>
    <t>ОГ-2.9*, ОГ-4.6</t>
  </si>
  <si>
    <t>Изготовление, монтаж и окраска металлических ограждений (90-100кг)</t>
  </si>
  <si>
    <t>ОГ-4.3</t>
  </si>
  <si>
    <t>Изготовление, монтаж и окраска металлических ограждений (более 100кг)</t>
  </si>
  <si>
    <t>1 сек - ОГ-4.2, 2 сек - ОГ-4.2, ОГ-4.4</t>
  </si>
  <si>
    <t>06.01.03</t>
  </si>
  <si>
    <t>Приямок</t>
  </si>
  <si>
    <t>06.01.03.00</t>
  </si>
  <si>
    <t>Монтаж решетки (сборное изделие)</t>
  </si>
  <si>
    <t>в подвале</t>
  </si>
  <si>
    <t>А500С Ø10 ГОСТ 34028-2016</t>
  </si>
  <si>
    <t>50х50х5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</si>
  <si>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</si>
  <si>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</si>
  <si>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</si>
  <si>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</si>
  <si>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</si>
  <si>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</si>
  <si>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</si>
  <si>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</si>
  <si>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</si>
  <si>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</si>
  <si>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</si>
  <si>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</si>
  <si>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</si>
  <si>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</si>
  <si>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ГП-72.214.01.06.01 Секция 1_Изготовление и монтаж металлических изделий №1</t>
  </si>
  <si>
    <t>c8cd9b64-486d-11f1-9618-db392af1e994</t>
  </si>
  <si>
    <t>ГП-72.214.02.06.01 Секция 2_Изготовление и монтаж металлических изделий №1</t>
  </si>
  <si>
    <t>c8cd9c8a-486d-11f1-9618-db392af1e994</t>
  </si>
  <si>
    <t>Итог</t>
  </si>
  <si>
    <t>Локальный сметный расчет (ЛСР) №1</t>
  </si>
  <si>
    <t>Итого:</t>
  </si>
  <si>
    <t>Проверка:</t>
  </si>
  <si>
    <t>Столбец1</t>
  </si>
  <si>
    <t>Примечания</t>
  </si>
  <si>
    <t>-</t>
  </si>
  <si>
    <t>Все сварные швы ошлифовать и окрасить</t>
  </si>
  <si>
    <t>Отрезные, шлифовальные диски, ацетон (для обезжиривания) и прочие расходные материалы учитывать в стоимости работ</t>
  </si>
  <si>
    <t>Окраска в 2 слоя</t>
  </si>
  <si>
    <t xml:space="preserve">Стоимость строительно-монтажных работ (СМР) учитывает прямые затрыты, накладные расходы, сметную прибыль,затраты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 вывоз мусора; налоги и иные издержки Подрядчика. </t>
  </si>
  <si>
    <t>Стоимость материалов учитывает стоимость доставки до объекта строительства</t>
  </si>
  <si>
    <t>Норма расхода металла 1,015</t>
  </si>
  <si>
    <t>Цвет краски предварительно согласовать с заказчиком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</si>
</sst>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#,##0.0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theme="1"/>
      <name val="Arial"/>
      <family val="2"/>
      <charset val="204"/>
    </font>
    <font>
      <b/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8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97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3" fillId="6" borderId="7" xfId="0" applyFont="1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0" fontId="0" fillId="7" borderId="5" xfId="0" applyFill="1" applyBorder="1" applyAlignment="1">
      <alignment horizontal="left" vertical="center"/>
    </xf>
    <xf numFmtId="164" fontId="0" fillId="8" borderId="5" xfId="0" applyNumberFormat="1" applyFill="1" applyBorder="1" applyAlignment="1">
      <alignment horizontal="right" vertical="center"/>
    </xf>
    <xf numFmtId="0" fontId="0" fillId="8" borderId="5" xfId="0" applyFill="1" applyBorder="1" applyAlignment="1">
      <alignment horizontal="right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0" fillId="0" borderId="7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6" fillId="0" borderId="0" xfId="0" applyFont="1" applyAlignment="1">
      <alignment horizontal="left"/>
    </xf>
    <xf numFmtId="0" fontId="5" fillId="0" borderId="0" xfId="1" applyFont="1" applyAlignment="1">
      <alignment horizontal="center" vertical="center"/>
    </xf>
    <xf numFmtId="0" fontId="8" fillId="0" borderId="0" xfId="2" applyFont="1" applyAlignment="1">
      <alignment horizontal="left" vertical="center" wrapText="1"/>
    </xf>
    <xf numFmtId="0" fontId="4" fillId="6" borderId="7" xfId="0" applyFont="1" applyFill="1" applyBorder="1" applyAlignment="1">
      <alignment horizontal="right" vertical="center"/>
    </xf>
    <xf numFmtId="4" fontId="4" fillId="6" borderId="7" xfId="0" applyNumberFormat="1" applyFont="1" applyFill="1" applyBorder="1" applyAlignment="1">
      <alignment horizontal="right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4" fontId="3" fillId="0" borderId="8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Обычный" xfId="0" builtinId="0"/>
    <cellStyle name="Обычный 2 2 5" xfId="1" xr:uid="{39C41B3E-17C6-4E21-8528-51210FEA1582}"/>
    <cellStyle name="Обычный 3 2 2 2" xfId="2" xr:uid="{61054A5A-6B80-432F-8725-03AEFB4F6C28}"/>
  </cellStyles>
  <dxfs count="40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vertic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7A939C-F1E2-48BA-874F-421B0A656CC8}" name="Р" displayName="Р" ref="A3:F14" totalsRowCount="1" headerRowDxfId="39" headerRowBorderDxfId="38" tableBorderDxfId="37" totalsRowBorderDxfId="36">
  <autoFilter ref="A3:F13" xr:uid="{807A939C-F1E2-48BA-874F-421B0A656CC8}"/>
  <tableColumns count="6">
    <tableColumn id="1" xr3:uid="{962262D2-C77F-47A7-87A4-0AD6D9A5A752}" name="Наименование" totalsRowLabel="Итог" dataDxfId="29" totalsRowDxfId="14"/>
    <tableColumn id="2" xr3:uid="{7A33F451-4BA9-4FE1-8277-5C040863BCFC}" name="Ед. изм." dataDxfId="28" totalsRowDxfId="13"/>
    <tableColumn id="3" xr3:uid="{1E5D1EA7-15CA-49E4-8D00-1062A02CC895}" name="Количество" dataDxfId="27" totalsRowDxfId="12"/>
    <tableColumn id="4" xr3:uid="{94B03AE0-1C9D-43F2-902B-C3A9B3E09729}" name="Столбец1" totalsRowLabel="Итого:" dataDxfId="26" totalsRowDxfId="11"/>
    <tableColumn id="5" xr3:uid="{F73C6ADA-0D5C-4B35-9A44-C8F03D0B35D3}" name="Сумма, руб" totalsRowFunction="sum" dataDxfId="25" totalsRowDxfId="10">
      <calculatedColumnFormula>ROUND(Р[[#This Row],[Количество]]*Р[[#This Row],[Столбец1]],2)</calculatedColumnFormula>
    </tableColumn>
    <tableColumn id="6" xr3:uid="{6B3FEC17-060F-4591-BDA8-D680748B6AD7}" name="Примечание" dataDxfId="24" totalsRow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7154C5-1625-47B3-88C0-5794D5875C2B}" name="М" displayName="М" ref="A3:I24" totalsRowCount="1" headerRowDxfId="35" dataDxfId="33" totalsRowDxfId="31" headerRowBorderDxfId="34" tableBorderDxfId="32" totalsRowBorderDxfId="30">
  <autoFilter ref="A3:I23" xr:uid="{BD7154C5-1625-47B3-88C0-5794D5875C2B}"/>
  <tableColumns count="9">
    <tableColumn id="1" xr3:uid="{DCFE6C1C-0D3C-4C46-97B6-2B76C2201F6D}" name="Наим." totalsRowLabel="Итог" dataDxfId="23" totalsRowDxfId="8"/>
    <tableColumn id="2" xr3:uid="{52BD88BC-9174-46CE-931B-7931FE6182E9}" name="Артикул, марка, произв." dataDxfId="22" totalsRowDxfId="7"/>
    <tableColumn id="3" xr3:uid="{1F2A7CC3-0CA6-4746-84A7-221594EAE251}" name="Хар-ка" dataDxfId="21" totalsRowDxfId="6"/>
    <tableColumn id="4" xr3:uid="{1E6537C8-FBC3-4CCF-9739-1070A79B817A}" name="Ед. изм." dataDxfId="20" totalsRowDxfId="5"/>
    <tableColumn id="5" xr3:uid="{38C641B8-8048-4D0C-82AF-599F83F9185C}" name="Количество" dataDxfId="19" totalsRowDxfId="4"/>
    <tableColumn id="6" xr3:uid="{851B7827-DF7C-4F77-92AE-C717440A446E}" name="Цена за ед., руб" totalsRowLabel="Итого:" dataDxfId="18" totalsRowDxfId="3"/>
    <tableColumn id="7" xr3:uid="{589A7F0B-677D-4103-B7E5-7B76F8554605}" name="Сумма, руб" totalsRowFunction="sum" dataDxfId="17" totalsRowDxfId="2">
      <calculatedColumnFormula>ROUND(М[[#This Row],[Количество]]*М[[#This Row],[Цена за ед., руб]],2)</calculatedColumnFormula>
    </tableColumn>
    <tableColumn id="8" xr3:uid="{17EF1628-7723-414E-BF1A-4AE42B083CB1}" name="Прим." dataDxfId="16" totalsRowDxfId="1"/>
    <tableColumn id="9" xr3:uid="{D853C5C2-91B7-4236-A747-DAFD404B3AD8}" name="Форма закупа" dataDxfId="15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P129"/>
  <sheetViews>
    <sheetView workbookViewId="0">
      <pane ySplit="7" topLeftCell="A101" activePane="bottomLeft" state="frozen"/>
      <selection pane="bottomLeft" activeCell="B124" sqref="B124:L124"/>
    </sheetView>
  </sheetViews>
  <sheetFormatPr defaultColWidth="10.5" defaultRowHeight="11.45" customHeight="1" outlineLevelRow="4" x14ac:dyDescent="0.2"/>
  <cols>
    <col min="1" max="1" width="9.83203125" style="51" customWidth="1"/>
    <col min="2" max="2" width="36" style="51" customWidth="1"/>
    <col min="3" max="3" width="15.83203125" style="51" customWidth="1"/>
    <col min="4" max="4" width="17" style="51" customWidth="1"/>
    <col min="5" max="5" width="10" style="51" customWidth="1"/>
    <col min="6" max="6" width="9.6640625" style="51" customWidth="1"/>
    <col min="7" max="8" width="10.5" style="51" customWidth="1"/>
    <col min="9" max="9" width="14.6640625" style="51" customWidth="1"/>
    <col min="10" max="10" width="16" style="51" customWidth="1"/>
    <col min="11" max="11" width="17" style="51" customWidth="1"/>
    <col min="12" max="12" width="35" style="51" customWidth="1"/>
    <col min="13" max="13" width="23.33203125" style="51" customWidth="1"/>
    <col min="14" max="16384" width="10.5" style="52"/>
  </cols>
  <sheetData>
    <row r="1" spans="1:13" ht="11.1" customHeight="1" x14ac:dyDescent="0.2"/>
    <row r="2" spans="1:13" ht="11.1" customHeight="1" x14ac:dyDescent="0.2">
      <c r="B2" s="87" t="s">
        <v>118</v>
      </c>
      <c r="C2" s="87"/>
      <c r="D2" s="87"/>
      <c r="E2" s="87"/>
      <c r="F2" s="87"/>
      <c r="G2" s="87"/>
      <c r="H2" s="87"/>
      <c r="I2" s="87"/>
      <c r="J2" s="87"/>
    </row>
    <row r="3" spans="1:13" ht="23.1" customHeight="1" x14ac:dyDescent="0.2">
      <c r="B3" s="88" t="s">
        <v>0</v>
      </c>
      <c r="C3" s="88"/>
      <c r="D3" s="88"/>
      <c r="E3" s="88"/>
      <c r="F3" s="88"/>
      <c r="G3" s="88"/>
      <c r="H3" s="88"/>
      <c r="I3" s="88"/>
      <c r="J3" s="88"/>
    </row>
    <row r="4" spans="1:13" ht="23.1" customHeight="1" x14ac:dyDescent="0.2">
      <c r="B4" s="88" t="s">
        <v>1</v>
      </c>
      <c r="C4" s="88"/>
      <c r="D4" s="88"/>
      <c r="E4" s="88"/>
      <c r="F4" s="88"/>
      <c r="G4" s="88"/>
      <c r="H4" s="88"/>
      <c r="I4" s="88"/>
      <c r="J4" s="88"/>
    </row>
    <row r="5" spans="1:13" ht="11.1" customHeight="1" x14ac:dyDescent="0.2"/>
    <row r="6" spans="1:13" ht="11.1" customHeight="1" x14ac:dyDescent="0.2">
      <c r="A6" s="83" t="s">
        <v>2</v>
      </c>
      <c r="B6" s="83" t="s">
        <v>3</v>
      </c>
      <c r="C6" s="91" t="s">
        <v>4</v>
      </c>
      <c r="D6" s="93" t="s">
        <v>5</v>
      </c>
      <c r="E6" s="83" t="s">
        <v>6</v>
      </c>
      <c r="F6" s="81" t="s">
        <v>7</v>
      </c>
      <c r="G6" s="89" t="s">
        <v>8</v>
      </c>
      <c r="H6" s="89" t="s">
        <v>9</v>
      </c>
      <c r="I6" s="83" t="s">
        <v>10</v>
      </c>
      <c r="J6" s="81" t="s">
        <v>11</v>
      </c>
      <c r="K6" s="81" t="s">
        <v>12</v>
      </c>
      <c r="L6" s="83" t="s">
        <v>13</v>
      </c>
      <c r="M6" s="81" t="s">
        <v>14</v>
      </c>
    </row>
    <row r="7" spans="1:13" ht="11.1" customHeight="1" x14ac:dyDescent="0.2">
      <c r="A7" s="84"/>
      <c r="B7" s="84"/>
      <c r="C7" s="92"/>
      <c r="D7" s="94"/>
      <c r="E7" s="84"/>
      <c r="F7" s="82"/>
      <c r="G7" s="90"/>
      <c r="H7" s="90"/>
      <c r="I7" s="84"/>
      <c r="J7" s="82"/>
      <c r="K7" s="82"/>
      <c r="L7" s="84"/>
      <c r="M7" s="82"/>
    </row>
    <row r="8" spans="1:13" ht="11.1" customHeight="1" x14ac:dyDescent="0.2">
      <c r="A8" s="4" t="s">
        <v>15</v>
      </c>
      <c r="B8" s="53" t="s">
        <v>16</v>
      </c>
      <c r="C8" s="3"/>
      <c r="D8" s="3"/>
      <c r="E8" s="4"/>
      <c r="F8" s="5"/>
      <c r="G8" s="5"/>
      <c r="H8" s="5"/>
      <c r="I8" s="5"/>
      <c r="J8" s="45"/>
      <c r="K8" s="45"/>
      <c r="L8" s="3"/>
      <c r="M8" s="3"/>
    </row>
    <row r="9" spans="1:13" ht="23.1" customHeight="1" outlineLevel="1" x14ac:dyDescent="0.2">
      <c r="A9" s="7" t="s">
        <v>17</v>
      </c>
      <c r="B9" s="54" t="s">
        <v>18</v>
      </c>
      <c r="C9" s="6"/>
      <c r="D9" s="6"/>
      <c r="E9" s="7"/>
      <c r="F9" s="8"/>
      <c r="G9" s="8"/>
      <c r="H9" s="8"/>
      <c r="I9" s="8"/>
      <c r="J9" s="46"/>
      <c r="K9" s="46">
        <f>SUM($K$105,$K$22,$K$10)</f>
        <v>0</v>
      </c>
      <c r="L9" s="6"/>
      <c r="M9" s="6"/>
    </row>
    <row r="10" spans="1:13" ht="11.1" customHeight="1" outlineLevel="2" x14ac:dyDescent="0.2">
      <c r="A10" s="10" t="s">
        <v>19</v>
      </c>
      <c r="B10" s="55" t="s">
        <v>20</v>
      </c>
      <c r="C10" s="9"/>
      <c r="D10" s="9"/>
      <c r="E10" s="10"/>
      <c r="F10" s="11"/>
      <c r="G10" s="12"/>
      <c r="H10" s="12"/>
      <c r="I10" s="12"/>
      <c r="J10" s="47"/>
      <c r="K10" s="47">
        <f>SUM($K$11)</f>
        <v>0</v>
      </c>
      <c r="L10" s="13"/>
      <c r="M10" s="13"/>
    </row>
    <row r="11" spans="1:13" ht="11.1" customHeight="1" outlineLevel="3" x14ac:dyDescent="0.2">
      <c r="A11" s="10" t="s">
        <v>21</v>
      </c>
      <c r="B11" s="55" t="s">
        <v>20</v>
      </c>
      <c r="C11" s="9"/>
      <c r="D11" s="9"/>
      <c r="E11" s="10"/>
      <c r="F11" s="11"/>
      <c r="G11" s="12"/>
      <c r="H11" s="12"/>
      <c r="I11" s="12"/>
      <c r="J11" s="47"/>
      <c r="K11" s="47">
        <f>SUM($K$14,$K$12)</f>
        <v>0</v>
      </c>
      <c r="L11" s="13"/>
      <c r="M11" s="13"/>
    </row>
    <row r="12" spans="1:13" ht="11.1" customHeight="1" outlineLevel="4" x14ac:dyDescent="0.2">
      <c r="A12" s="56"/>
      <c r="B12" s="55" t="s">
        <v>22</v>
      </c>
      <c r="C12" s="14"/>
      <c r="D12" s="14"/>
      <c r="E12" s="14"/>
      <c r="F12" s="14"/>
      <c r="G12" s="14"/>
      <c r="H12" s="14"/>
      <c r="I12" s="14"/>
      <c r="J12" s="48"/>
      <c r="K12" s="49">
        <f>SUM($K$13)</f>
        <v>0</v>
      </c>
      <c r="L12" s="12"/>
      <c r="M12" s="12"/>
    </row>
    <row r="13" spans="1:13" ht="23.1" customHeight="1" outlineLevel="4" x14ac:dyDescent="0.2">
      <c r="A13" s="16"/>
      <c r="B13" s="57" t="s">
        <v>23</v>
      </c>
      <c r="C13" s="15"/>
      <c r="D13" s="15"/>
      <c r="E13" s="16" t="s">
        <v>24</v>
      </c>
      <c r="F13" s="17"/>
      <c r="G13" s="18">
        <v>53.16</v>
      </c>
      <c r="H13" s="18">
        <v>53.16</v>
      </c>
      <c r="I13" s="18">
        <f>SUM($G$13:$H$13)</f>
        <v>106.32</v>
      </c>
      <c r="J13" s="22">
        <f t="array" ref="J13">INDEX(Р[Столбец1],MATCH(1,IF(($B13=Р[Наименование])*($L13=Р[Примечание]),{1},($B13=Р[Наименование])*($L13=Р[Примечание])),0))</f>
        <v>0</v>
      </c>
      <c r="K13" s="22">
        <f>ROUND($I$13*$J$13,2)</f>
        <v>0</v>
      </c>
      <c r="L13" s="15" t="s">
        <v>25</v>
      </c>
      <c r="M13" s="15"/>
    </row>
    <row r="14" spans="1:13" ht="11.1" customHeight="1" outlineLevel="4" x14ac:dyDescent="0.2">
      <c r="A14" s="56"/>
      <c r="B14" s="55" t="s">
        <v>26</v>
      </c>
      <c r="C14" s="14"/>
      <c r="D14" s="14"/>
      <c r="E14" s="14"/>
      <c r="F14" s="14"/>
      <c r="G14" s="14"/>
      <c r="H14" s="14"/>
      <c r="I14" s="14"/>
      <c r="J14" s="48"/>
      <c r="K14" s="49">
        <f>SUM($K$15:$K$21)</f>
        <v>0</v>
      </c>
      <c r="L14" s="12"/>
      <c r="M14" s="12"/>
    </row>
    <row r="15" spans="1:13" ht="23.1" customHeight="1" outlineLevel="4" x14ac:dyDescent="0.2">
      <c r="A15" s="16" t="s">
        <v>27</v>
      </c>
      <c r="B15" s="57" t="s">
        <v>28</v>
      </c>
      <c r="C15" s="15"/>
      <c r="D15" s="15" t="s">
        <v>29</v>
      </c>
      <c r="E15" s="16" t="s">
        <v>30</v>
      </c>
      <c r="F15" s="64">
        <v>1.0149999999999999</v>
      </c>
      <c r="G15" s="19">
        <v>1.4E-2</v>
      </c>
      <c r="H15" s="19">
        <v>1.4E-2</v>
      </c>
      <c r="I15" s="19">
        <f>SUM($G$15:$H$15)</f>
        <v>2.8000000000000001E-2</v>
      </c>
      <c r="J15" s="22">
        <f t="array" ref="J15">INDEX(М[Цена за ед., руб],MATCH(1,IF(($B15=М[Наим.])*($C15=М[Артикул, марка, произв.])*($D15=М[Хар-ка])*($L15=М[Прим.]),{1},($B15=М[Наим.])*($C15=М[Артикул, марка, произв.])*($D15=М[Хар-ка])*($L15=М[Прим.])),0))</f>
        <v>0</v>
      </c>
      <c r="K15" s="22">
        <f>ROUND($I$15*$J$15,2)</f>
        <v>0</v>
      </c>
      <c r="L15" s="15"/>
      <c r="M15" s="15" t="str">
        <f t="array" ref="M15">INDEX(М[Форма закупа],MATCH(1,IF(($B15=М[Наим.])*($C15=М[Артикул, марка, произв.])*($D15=М[Хар-ка])*($L15=М[Прим.]),{1},($B15=М[Наим.])*($C15=М[Артикул, марка, произв.])*($D15=М[Хар-ка])*($L15=М[Прим.])),0))</f>
        <v>Закупка подрядчик</v>
      </c>
    </row>
    <row r="16" spans="1:13" ht="11.1" customHeight="1" outlineLevel="4" x14ac:dyDescent="0.2">
      <c r="A16" s="16" t="s">
        <v>31</v>
      </c>
      <c r="B16" s="57" t="s">
        <v>32</v>
      </c>
      <c r="C16" s="15"/>
      <c r="D16" s="15" t="s">
        <v>33</v>
      </c>
      <c r="E16" s="16" t="s">
        <v>24</v>
      </c>
      <c r="F16" s="64">
        <v>1.0149999999999999</v>
      </c>
      <c r="G16" s="18">
        <v>38.44</v>
      </c>
      <c r="H16" s="18">
        <v>38.44</v>
      </c>
      <c r="I16" s="18">
        <f>SUM($G$16:$H$16)</f>
        <v>76.88</v>
      </c>
      <c r="J16" s="22">
        <f t="array" ref="J16">INDEX(М[Цена за ед., руб],MATCH(1,IF(($B16=М[Наим.])*($C16=М[Артикул, марка, произв.])*($D16=М[Хар-ка])*($L16=М[Прим.]),{1},($B16=М[Наим.])*($C16=М[Артикул, марка, произв.])*($D16=М[Хар-ка])*($L16=М[Прим.])),0))</f>
        <v>0</v>
      </c>
      <c r="K16" s="22">
        <f>ROUND($I$16*$J$16,2)</f>
        <v>0</v>
      </c>
      <c r="L16" s="15"/>
      <c r="M16" s="15" t="str">
        <f t="array" ref="M16">INDEX(М[Форма закупа],MATCH(1,IF(($B16=М[Наим.])*($C16=М[Артикул, марка, произв.])*($D16=М[Хар-ка])*($L16=М[Прим.]),{1},($B16=М[Наим.])*($C16=М[Артикул, марка, произв.])*($D16=М[Хар-ка])*($L16=М[Прим.])),0))</f>
        <v>Закупка подрядчик</v>
      </c>
    </row>
    <row r="17" spans="1:13" ht="47.1" customHeight="1" outlineLevel="4" x14ac:dyDescent="0.2">
      <c r="A17" s="16" t="s">
        <v>34</v>
      </c>
      <c r="B17" s="57" t="s">
        <v>35</v>
      </c>
      <c r="C17" s="15"/>
      <c r="D17" s="15" t="s">
        <v>36</v>
      </c>
      <c r="E17" s="16" t="s">
        <v>37</v>
      </c>
      <c r="F17" s="64">
        <v>0.14000000000000001</v>
      </c>
      <c r="G17" s="18">
        <v>0.28999999999999998</v>
      </c>
      <c r="H17" s="18">
        <v>0.28999999999999998</v>
      </c>
      <c r="I17" s="18">
        <f>SUM($G$17:$H$17)</f>
        <v>0.57999999999999996</v>
      </c>
      <c r="J17" s="22">
        <f t="array" ref="J17">INDEX(М[Цена за ед., руб],MATCH(1,IF(($B17=М[Наим.])*($C17=М[Артикул, марка, произв.])*($D17=М[Хар-ка])*($L17=М[Прим.]),{1},($B17=М[Наим.])*($C17=М[Артикул, марка, произв.])*($D17=М[Хар-ка])*($L17=М[Прим.])),0))</f>
        <v>0</v>
      </c>
      <c r="K17" s="22">
        <f>ROUND($I$17*$J$17,2)</f>
        <v>0</v>
      </c>
      <c r="L17" s="15"/>
      <c r="M17" s="15" t="str">
        <f t="array" ref="M17">INDEX(М[Форма закупа],MATCH(1,IF(($B17=М[Наим.])*($C17=М[Артикул, марка, произв.])*($D17=М[Хар-ка])*($L17=М[Прим.]),{1},($B17=М[Наим.])*($C17=М[Артикул, марка, произв.])*($D17=М[Хар-ка])*($L17=М[Прим.])),0))</f>
        <v>Закупка подрядчик</v>
      </c>
    </row>
    <row r="18" spans="1:13" ht="11.1" customHeight="1" outlineLevel="4" x14ac:dyDescent="0.2">
      <c r="A18" s="16" t="s">
        <v>38</v>
      </c>
      <c r="B18" s="57" t="s">
        <v>39</v>
      </c>
      <c r="C18" s="15"/>
      <c r="D18" s="15" t="s">
        <v>40</v>
      </c>
      <c r="E18" s="16" t="s">
        <v>24</v>
      </c>
      <c r="F18" s="64">
        <v>7.6999999999999999E-2</v>
      </c>
      <c r="G18" s="18">
        <v>0.16</v>
      </c>
      <c r="H18" s="18">
        <v>0.16</v>
      </c>
      <c r="I18" s="18">
        <f>SUM($G$18:$H$18)</f>
        <v>0.32</v>
      </c>
      <c r="J18" s="22">
        <f t="array" ref="J18">INDEX(М[Цена за ед., руб],MATCH(1,IF(($B18=М[Наим.])*($C18=М[Артикул, марка, произв.])*($D18=М[Хар-ка])*($L18=М[Прим.]),{1},($B18=М[Наим.])*($C18=М[Артикул, марка, произв.])*($D18=М[Хар-ка])*($L18=М[Прим.])),0))</f>
        <v>0</v>
      </c>
      <c r="K18" s="22">
        <f>ROUND($I$18*$J$18,2)</f>
        <v>0</v>
      </c>
      <c r="L18" s="15"/>
      <c r="M18" s="15" t="str">
        <f t="array" ref="M18">INDEX(М[Форма закупа],MATCH(1,IF(($B18=М[Наим.])*($C18=М[Артикул, марка, произв.])*($D18=М[Хар-ка])*($L18=М[Прим.]),{1},($B18=М[Наим.])*($C18=М[Артикул, марка, произв.])*($D18=М[Хар-ка])*($L18=М[Прим.])),0))</f>
        <v>Закупка подрядчик</v>
      </c>
    </row>
    <row r="19" spans="1:13" ht="11.1" customHeight="1" outlineLevel="4" x14ac:dyDescent="0.2">
      <c r="A19" s="16" t="s">
        <v>41</v>
      </c>
      <c r="B19" s="57" t="s">
        <v>42</v>
      </c>
      <c r="C19" s="15"/>
      <c r="D19" s="15" t="s">
        <v>43</v>
      </c>
      <c r="E19" s="16" t="s">
        <v>44</v>
      </c>
      <c r="F19" s="65"/>
      <c r="G19" s="20">
        <v>4</v>
      </c>
      <c r="H19" s="20">
        <v>4</v>
      </c>
      <c r="I19" s="20">
        <f>SUM($G$19:$H$19)</f>
        <v>8</v>
      </c>
      <c r="J19" s="22">
        <f t="array" ref="J19">INDEX(М[Цена за ед., руб],MATCH(1,IF(($B19=М[Наим.])*($C19=М[Артикул, марка, произв.])*($D19=М[Хар-ка])*($L19=М[Прим.]),{1},($B19=М[Наим.])*($C19=М[Артикул, марка, произв.])*($D19=М[Хар-ка])*($L19=М[Прим.])),0))</f>
        <v>0</v>
      </c>
      <c r="K19" s="22">
        <f>ROUND($I$19*$J$19,2)</f>
        <v>0</v>
      </c>
      <c r="L19" s="15"/>
      <c r="M19" s="15" t="str">
        <f t="array" ref="M19">INDEX(М[Форма закупа],MATCH(1,IF(($B19=М[Наим.])*($C19=М[Артикул, марка, произв.])*($D19=М[Хар-ка])*($L19=М[Прим.]),{1},($B19=М[Наим.])*($C19=М[Артикул, марка, произв.])*($D19=М[Хар-ка])*($L19=М[Прим.])),0))</f>
        <v>Закупка подрядчик</v>
      </c>
    </row>
    <row r="20" spans="1:13" ht="11.1" customHeight="1" outlineLevel="4" x14ac:dyDescent="0.2">
      <c r="A20" s="16" t="s">
        <v>45</v>
      </c>
      <c r="B20" s="57" t="s">
        <v>46</v>
      </c>
      <c r="C20" s="15"/>
      <c r="D20" s="15" t="s">
        <v>47</v>
      </c>
      <c r="E20" s="16" t="s">
        <v>24</v>
      </c>
      <c r="F20" s="64">
        <v>1.4999999999999999E-2</v>
      </c>
      <c r="G20" s="21">
        <v>0.8</v>
      </c>
      <c r="H20" s="21">
        <v>0.8</v>
      </c>
      <c r="I20" s="21">
        <f>SUM($G$20:$H$20)</f>
        <v>1.6</v>
      </c>
      <c r="J20" s="22">
        <f t="array" ref="J20">INDEX(М[Цена за ед., руб],MATCH(1,IF(($B20=М[Наим.])*($C20=М[Артикул, марка, произв.])*($D20=М[Хар-ка])*($L20=М[Прим.]),{1},($B20=М[Наим.])*($C20=М[Артикул, марка, произв.])*($D20=М[Хар-ка])*($L20=М[Прим.])),0))</f>
        <v>0</v>
      </c>
      <c r="K20" s="22">
        <f>ROUND($I$20*$J$20,2)</f>
        <v>0</v>
      </c>
      <c r="L20" s="15"/>
      <c r="M20" s="15" t="str">
        <f t="array" ref="M20">INDEX(М[Форма закупа],MATCH(1,IF(($B20=М[Наим.])*($C20=М[Артикул, марка, произв.])*($D20=М[Хар-ка])*($L20=М[Прим.]),{1},($B20=М[Наим.])*($C20=М[Артикул, марка, произв.])*($D20=М[Хар-ка])*($L20=М[Прим.])),0))</f>
        <v>Закупка подрядчик</v>
      </c>
    </row>
    <row r="21" spans="1:13" ht="23.1" customHeight="1" outlineLevel="4" x14ac:dyDescent="0.2">
      <c r="A21" s="16" t="s">
        <v>48</v>
      </c>
      <c r="B21" s="57" t="s">
        <v>49</v>
      </c>
      <c r="C21" s="15"/>
      <c r="D21" s="15" t="s">
        <v>50</v>
      </c>
      <c r="E21" s="16" t="s">
        <v>24</v>
      </c>
      <c r="F21" s="64">
        <v>1.0149999999999999</v>
      </c>
      <c r="G21" s="18">
        <v>1.91</v>
      </c>
      <c r="H21" s="18">
        <v>1.91</v>
      </c>
      <c r="I21" s="18">
        <f>SUM($G$21:$H$21)</f>
        <v>3.82</v>
      </c>
      <c r="J21" s="22">
        <f t="array" ref="J21">INDEX(М[Цена за ед., руб],MATCH(1,IF(($B21=М[Наим.])*($C21=М[Артикул, марка, произв.])*($D21=М[Хар-ка])*($L21=М[Прим.]),{1},($B21=М[Наим.])*($C21=М[Артикул, марка, произв.])*($D21=М[Хар-ка])*($L21=М[Прим.])),0))</f>
        <v>0</v>
      </c>
      <c r="K21" s="22">
        <f>ROUND($I$21*$J$21,2)</f>
        <v>0</v>
      </c>
      <c r="L21" s="15" t="s">
        <v>51</v>
      </c>
      <c r="M21" s="15" t="str">
        <f t="array" ref="M21">INDEX(М[Форма закупа],MATCH(1,IF(($B21=М[Наим.])*($C21=М[Артикул, марка, произв.])*($D21=М[Хар-ка])*($L21=М[Прим.]),{1},($B21=М[Наим.])*($C21=М[Артикул, марка, произв.])*($D21=М[Хар-ка])*($L21=М[Прим.])),0))</f>
        <v>Закупка подрядчик</v>
      </c>
    </row>
    <row r="22" spans="1:13" ht="11.1" customHeight="1" outlineLevel="2" x14ac:dyDescent="0.2">
      <c r="A22" s="10" t="s">
        <v>52</v>
      </c>
      <c r="B22" s="55" t="s">
        <v>53</v>
      </c>
      <c r="C22" s="9"/>
      <c r="D22" s="9"/>
      <c r="E22" s="10"/>
      <c r="F22" s="11"/>
      <c r="G22" s="12"/>
      <c r="H22" s="12"/>
      <c r="I22" s="12"/>
      <c r="J22" s="47"/>
      <c r="K22" s="47">
        <f>SUM($K$23)</f>
        <v>0</v>
      </c>
      <c r="L22" s="13"/>
      <c r="M22" s="13"/>
    </row>
    <row r="23" spans="1:13" ht="11.1" customHeight="1" outlineLevel="3" x14ac:dyDescent="0.2">
      <c r="A23" s="10" t="s">
        <v>54</v>
      </c>
      <c r="B23" s="55" t="s">
        <v>53</v>
      </c>
      <c r="C23" s="9"/>
      <c r="D23" s="9"/>
      <c r="E23" s="10"/>
      <c r="F23" s="11"/>
      <c r="G23" s="12"/>
      <c r="H23" s="12"/>
      <c r="I23" s="12"/>
      <c r="J23" s="47"/>
      <c r="K23" s="47">
        <f>SUM($K$99,$K$97,$K$91,$K$89,$K$83,$K$81,$K$75,$K$73,$K$67,$K$65,$K$52,$K$50,$K$38,$K$36,$K$26,$K$24)</f>
        <v>0</v>
      </c>
      <c r="L23" s="13"/>
      <c r="M23" s="13"/>
    </row>
    <row r="24" spans="1:13" ht="11.1" customHeight="1" outlineLevel="4" x14ac:dyDescent="0.2">
      <c r="A24" s="56"/>
      <c r="B24" s="55" t="s">
        <v>22</v>
      </c>
      <c r="C24" s="14"/>
      <c r="D24" s="14"/>
      <c r="E24" s="14"/>
      <c r="F24" s="14"/>
      <c r="G24" s="14"/>
      <c r="H24" s="14"/>
      <c r="I24" s="14"/>
      <c r="J24" s="48"/>
      <c r="K24" s="49">
        <f>SUM($K$25)</f>
        <v>0</v>
      </c>
      <c r="L24" s="12"/>
      <c r="M24" s="12"/>
    </row>
    <row r="25" spans="1:13" ht="23.1" customHeight="1" outlineLevel="4" x14ac:dyDescent="0.2">
      <c r="A25" s="16"/>
      <c r="B25" s="57" t="s">
        <v>55</v>
      </c>
      <c r="C25" s="15"/>
      <c r="D25" s="15"/>
      <c r="E25" s="16" t="s">
        <v>24</v>
      </c>
      <c r="F25" s="17"/>
      <c r="G25" s="18">
        <v>13.02</v>
      </c>
      <c r="H25" s="18">
        <v>13.02</v>
      </c>
      <c r="I25" s="18">
        <f>SUM($G$25:$H$25)</f>
        <v>26.04</v>
      </c>
      <c r="J25" s="22">
        <f t="array" ref="J25">INDEX(Р[Столбец1],MATCH(1,IF(($B25=Р[Наименование])*($L25=Р[Примечание]),{1},($B25=Р[Наименование])*($L25=Р[Примечание])),0))</f>
        <v>0</v>
      </c>
      <c r="K25" s="22">
        <f>ROUND($I$25*$J$25,2)</f>
        <v>0</v>
      </c>
      <c r="L25" s="15" t="s">
        <v>56</v>
      </c>
      <c r="M25" s="15"/>
    </row>
    <row r="26" spans="1:13" ht="11.1" customHeight="1" outlineLevel="4" x14ac:dyDescent="0.2">
      <c r="A26" s="56"/>
      <c r="B26" s="55" t="s">
        <v>26</v>
      </c>
      <c r="C26" s="14"/>
      <c r="D26" s="14"/>
      <c r="E26" s="14"/>
      <c r="F26" s="14"/>
      <c r="G26" s="14"/>
      <c r="H26" s="14"/>
      <c r="I26" s="14"/>
      <c r="J26" s="48"/>
      <c r="K26" s="49">
        <f>SUM($K$27:$K$35)</f>
        <v>0</v>
      </c>
      <c r="L26" s="12"/>
      <c r="M26" s="12"/>
    </row>
    <row r="27" spans="1:13" ht="47.1" customHeight="1" outlineLevel="4" x14ac:dyDescent="0.2">
      <c r="A27" s="16" t="s">
        <v>27</v>
      </c>
      <c r="B27" s="57" t="s">
        <v>35</v>
      </c>
      <c r="C27" s="15"/>
      <c r="D27" s="15" t="s">
        <v>36</v>
      </c>
      <c r="E27" s="16" t="s">
        <v>37</v>
      </c>
      <c r="F27" s="64">
        <v>0.14000000000000001</v>
      </c>
      <c r="G27" s="18">
        <v>0.18</v>
      </c>
      <c r="H27" s="18">
        <v>0.18</v>
      </c>
      <c r="I27" s="18">
        <f>SUM($G$27:$H$27)</f>
        <v>0.36</v>
      </c>
      <c r="J27" s="22">
        <f t="array" ref="J27">INDEX(М[Цена за ед., руб],MATCH(1,IF(($B27=М[Наим.])*($C27=М[Артикул, марка, произв.])*($D27=М[Хар-ка])*($L27=М[Прим.]),{1},($B27=М[Наим.])*($C27=М[Артикул, марка, произв.])*($D27=М[Хар-ка])*($L27=М[Прим.])),0))</f>
        <v>0</v>
      </c>
      <c r="K27" s="22">
        <f>ROUND($I$27*$J$27,2)</f>
        <v>0</v>
      </c>
      <c r="L27" s="15"/>
      <c r="M27" s="15" t="str">
        <f t="array" ref="M27">INDEX(М[Форма закупа],MATCH(1,IF(($B27=М[Наим.])*($C27=М[Артикул, марка, произв.])*($D27=М[Хар-ка])*($L27=М[Прим.]),{1},($B27=М[Наим.])*($C27=М[Артикул, марка, произв.])*($D27=М[Хар-ка])*($L27=М[Прим.])),0))</f>
        <v>Закупка подрядчик</v>
      </c>
    </row>
    <row r="28" spans="1:13" ht="11.1" customHeight="1" outlineLevel="4" x14ac:dyDescent="0.2">
      <c r="A28" s="16" t="s">
        <v>31</v>
      </c>
      <c r="B28" s="57" t="s">
        <v>39</v>
      </c>
      <c r="C28" s="15"/>
      <c r="D28" s="15" t="s">
        <v>40</v>
      </c>
      <c r="E28" s="16" t="s">
        <v>24</v>
      </c>
      <c r="F28" s="64">
        <v>7.6999999999999999E-2</v>
      </c>
      <c r="G28" s="21">
        <v>0.1</v>
      </c>
      <c r="H28" s="21">
        <v>0.1</v>
      </c>
      <c r="I28" s="21">
        <f>SUM($G$28:$H$28)</f>
        <v>0.2</v>
      </c>
      <c r="J28" s="22">
        <f t="array" ref="J28">INDEX(М[Цена за ед., руб],MATCH(1,IF(($B28=М[Наим.])*($C28=М[Артикул, марка, произв.])*($D28=М[Хар-ка])*($L28=М[Прим.]),{1},($B28=М[Наим.])*($C28=М[Артикул, марка, произв.])*($D28=М[Хар-ка])*($L28=М[Прим.])),0))</f>
        <v>0</v>
      </c>
      <c r="K28" s="22">
        <f>ROUND($I$28*$J$28,2)</f>
        <v>0</v>
      </c>
      <c r="L28" s="15"/>
      <c r="M28" s="15" t="str">
        <f t="array" ref="M28">INDEX(М[Форма закупа],MATCH(1,IF(($B28=М[Наим.])*($C28=М[Артикул, марка, произв.])*($D28=М[Хар-ка])*($L28=М[Прим.]),{1},($B28=М[Наим.])*($C28=М[Артикул, марка, произв.])*($D28=М[Хар-ка])*($L28=М[Прим.])),0))</f>
        <v>Закупка подрядчик</v>
      </c>
    </row>
    <row r="29" spans="1:13" ht="11.1" customHeight="1" outlineLevel="4" x14ac:dyDescent="0.2">
      <c r="A29" s="16" t="s">
        <v>34</v>
      </c>
      <c r="B29" s="57" t="s">
        <v>42</v>
      </c>
      <c r="C29" s="15"/>
      <c r="D29" s="15" t="s">
        <v>43</v>
      </c>
      <c r="E29" s="16" t="s">
        <v>44</v>
      </c>
      <c r="F29" s="65"/>
      <c r="G29" s="20">
        <v>4</v>
      </c>
      <c r="H29" s="20">
        <v>4</v>
      </c>
      <c r="I29" s="20">
        <f>SUM($G$29:$H$29)</f>
        <v>8</v>
      </c>
      <c r="J29" s="22">
        <f t="array" ref="J29">INDEX(М[Цена за ед., руб],MATCH(1,IF(($B29=М[Наим.])*($C29=М[Артикул, марка, произв.])*($D29=М[Хар-ка])*($L29=М[Прим.]),{1},($B29=М[Наим.])*($C29=М[Артикул, марка, произв.])*($D29=М[Хар-ка])*($L29=М[Прим.])),0))</f>
        <v>0</v>
      </c>
      <c r="K29" s="22">
        <f>ROUND($I$29*$J$29,2)</f>
        <v>0</v>
      </c>
      <c r="L29" s="15"/>
      <c r="M29" s="15" t="str">
        <f t="array" ref="M29">INDEX(М[Форма закупа],MATCH(1,IF(($B29=М[Наим.])*($C29=М[Артикул, марка, произв.])*($D29=М[Хар-ка])*($L29=М[Прим.]),{1},($B29=М[Наим.])*($C29=М[Артикул, марка, произв.])*($D29=М[Хар-ка])*($L29=М[Прим.])),0))</f>
        <v>Закупка подрядчик</v>
      </c>
    </row>
    <row r="30" spans="1:13" ht="11.1" customHeight="1" outlineLevel="4" x14ac:dyDescent="0.2">
      <c r="A30" s="16" t="s">
        <v>38</v>
      </c>
      <c r="B30" s="57" t="s">
        <v>46</v>
      </c>
      <c r="C30" s="15"/>
      <c r="D30" s="15" t="s">
        <v>47</v>
      </c>
      <c r="E30" s="16" t="s">
        <v>24</v>
      </c>
      <c r="F30" s="64">
        <v>1.4999999999999999E-2</v>
      </c>
      <c r="G30" s="21">
        <v>0.2</v>
      </c>
      <c r="H30" s="21">
        <v>0.2</v>
      </c>
      <c r="I30" s="21">
        <f>SUM($G$30:$H$30)</f>
        <v>0.4</v>
      </c>
      <c r="J30" s="22">
        <f t="array" ref="J30">INDEX(М[Цена за ед., руб],MATCH(1,IF(($B30=М[Наим.])*($C30=М[Артикул, марка, произв.])*($D30=М[Хар-ка])*($L30=М[Прим.]),{1},($B30=М[Наим.])*($C30=М[Артикул, марка, произв.])*($D30=М[Хар-ка])*($L30=М[Прим.])),0))</f>
        <v>0</v>
      </c>
      <c r="K30" s="22">
        <f>ROUND($I$30*$J$30,2)</f>
        <v>0</v>
      </c>
      <c r="L30" s="15"/>
      <c r="M30" s="15" t="str">
        <f t="array" ref="M30">INDEX(М[Форма закупа],MATCH(1,IF(($B30=М[Наим.])*($C30=М[Артикул, марка, произв.])*($D30=М[Хар-ка])*($L30=М[Прим.]),{1},($B30=М[Наим.])*($C30=М[Артикул, марка, произв.])*($D30=М[Хар-ка])*($L30=М[Прим.])),0))</f>
        <v>Закупка подрядчик</v>
      </c>
    </row>
    <row r="31" spans="1:13" ht="11.1" customHeight="1" outlineLevel="4" x14ac:dyDescent="0.2">
      <c r="A31" s="16" t="s">
        <v>41</v>
      </c>
      <c r="B31" s="57" t="s">
        <v>57</v>
      </c>
      <c r="C31" s="15"/>
      <c r="D31" s="15" t="s">
        <v>58</v>
      </c>
      <c r="E31" s="16" t="s">
        <v>24</v>
      </c>
      <c r="F31" s="64">
        <v>1.0149999999999999</v>
      </c>
      <c r="G31" s="18">
        <v>0.08</v>
      </c>
      <c r="H31" s="18">
        <v>0.08</v>
      </c>
      <c r="I31" s="18">
        <f>SUM($G$31:$H$31)</f>
        <v>0.16</v>
      </c>
      <c r="J31" s="22">
        <f t="array" ref="J31">INDEX(М[Цена за ед., руб],MATCH(1,IF(($B31=М[Наим.])*($C31=М[Артикул, марка, произв.])*($D31=М[Хар-ка])*($L31=М[Прим.]),{1},($B31=М[Наим.])*($C31=М[Артикул, марка, произв.])*($D31=М[Хар-ка])*($L31=М[Прим.])),0))</f>
        <v>0</v>
      </c>
      <c r="K31" s="22">
        <f>ROUND($I$31*$J$31,2)</f>
        <v>0</v>
      </c>
      <c r="L31" s="15"/>
      <c r="M31" s="15" t="str">
        <f t="array" ref="M31">INDEX(М[Форма закупа],MATCH(1,IF(($B31=М[Наим.])*($C31=М[Артикул, марка, произв.])*($D31=М[Хар-ка])*($L31=М[Прим.]),{1},($B31=М[Наим.])*($C31=М[Артикул, марка, произв.])*($D31=М[Хар-ка])*($L31=М[Прим.])),0))</f>
        <v>Закупка подрядчик</v>
      </c>
    </row>
    <row r="32" spans="1:13" ht="11.1" customHeight="1" outlineLevel="4" x14ac:dyDescent="0.2">
      <c r="A32" s="16" t="s">
        <v>45</v>
      </c>
      <c r="B32" s="57" t="s">
        <v>57</v>
      </c>
      <c r="C32" s="15"/>
      <c r="D32" s="15" t="s">
        <v>59</v>
      </c>
      <c r="E32" s="16" t="s">
        <v>24</v>
      </c>
      <c r="F32" s="64">
        <v>1.0149999999999999</v>
      </c>
      <c r="G32" s="18">
        <v>7.32</v>
      </c>
      <c r="H32" s="18">
        <v>7.32</v>
      </c>
      <c r="I32" s="18">
        <f>SUM($G$32:$H$32)</f>
        <v>14.64</v>
      </c>
      <c r="J32" s="22">
        <f t="array" ref="J32">INDEX(М[Цена за ед., руб],MATCH(1,IF(($B32=М[Наим.])*($C32=М[Артикул, марка, произв.])*($D32=М[Хар-ка])*($L32=М[Прим.]),{1},($B32=М[Наим.])*($C32=М[Артикул, марка, произв.])*($D32=М[Хар-ка])*($L32=М[Прим.])),0))</f>
        <v>0</v>
      </c>
      <c r="K32" s="22">
        <f>ROUND($I$32*$J$32,2)</f>
        <v>0</v>
      </c>
      <c r="L32" s="15"/>
      <c r="M32" s="15" t="str">
        <f t="array" ref="M32">INDEX(М[Форма закупа],MATCH(1,IF(($B32=М[Наим.])*($C32=М[Артикул, марка, произв.])*($D32=М[Хар-ка])*($L32=М[Прим.]),{1},($B32=М[Наим.])*($C32=М[Артикул, марка, произв.])*($D32=М[Хар-ка])*($L32=М[Прим.])),0))</f>
        <v>Закупка подрядчик</v>
      </c>
    </row>
    <row r="33" spans="1:13" ht="11.1" customHeight="1" outlineLevel="4" x14ac:dyDescent="0.2">
      <c r="A33" s="16" t="s">
        <v>48</v>
      </c>
      <c r="B33" s="57" t="s">
        <v>57</v>
      </c>
      <c r="C33" s="15"/>
      <c r="D33" s="15" t="s">
        <v>60</v>
      </c>
      <c r="E33" s="16" t="s">
        <v>24</v>
      </c>
      <c r="F33" s="64">
        <v>1.0149999999999999</v>
      </c>
      <c r="G33" s="18">
        <v>2.69</v>
      </c>
      <c r="H33" s="18">
        <v>2.69</v>
      </c>
      <c r="I33" s="18">
        <f>SUM($G$33:$H$33)</f>
        <v>5.38</v>
      </c>
      <c r="J33" s="22">
        <f t="array" ref="J33">INDEX(М[Цена за ед., руб],MATCH(1,IF(($B33=М[Наим.])*($C33=М[Артикул, марка, произв.])*($D33=М[Хар-ка])*($L33=М[Прим.]),{1},($B33=М[Наим.])*($C33=М[Артикул, марка, произв.])*($D33=М[Хар-ка])*($L33=М[Прим.])),0))</f>
        <v>0</v>
      </c>
      <c r="K33" s="22">
        <f>ROUND($I$33*$J$33,2)</f>
        <v>0</v>
      </c>
      <c r="L33" s="15"/>
      <c r="M33" s="15" t="str">
        <f t="array" ref="M33">INDEX(М[Форма закупа],MATCH(1,IF(($B33=М[Наим.])*($C33=М[Артикул, марка, произв.])*($D33=М[Хар-ка])*($L33=М[Прим.]),{1},($B33=М[Наим.])*($C33=М[Артикул, марка, произв.])*($D33=М[Хар-ка])*($L33=М[Прим.])),0))</f>
        <v>Закупка подрядчик</v>
      </c>
    </row>
    <row r="34" spans="1:13" ht="11.1" customHeight="1" outlineLevel="4" x14ac:dyDescent="0.2">
      <c r="A34" s="16" t="s">
        <v>61</v>
      </c>
      <c r="B34" s="57" t="s">
        <v>62</v>
      </c>
      <c r="C34" s="15"/>
      <c r="D34" s="15" t="s">
        <v>63</v>
      </c>
      <c r="E34" s="16" t="s">
        <v>24</v>
      </c>
      <c r="F34" s="64">
        <v>1.0149999999999999</v>
      </c>
      <c r="G34" s="18">
        <v>0.56999999999999995</v>
      </c>
      <c r="H34" s="18">
        <v>0.56999999999999995</v>
      </c>
      <c r="I34" s="18">
        <f>SUM($G$34:$H$34)</f>
        <v>1.1399999999999999</v>
      </c>
      <c r="J34" s="22">
        <f t="array" ref="J34">INDEX(М[Цена за ед., руб],MATCH(1,IF(($B34=М[Наим.])*($C34=М[Артикул, марка, произв.])*($D34=М[Хар-ка])*($L34=М[Прим.]),{1},($B34=М[Наим.])*($C34=М[Артикул, марка, произв.])*($D34=М[Хар-ка])*($L34=М[Прим.])),0))</f>
        <v>0</v>
      </c>
      <c r="K34" s="22">
        <f>ROUND($I$34*$J$34,2)</f>
        <v>0</v>
      </c>
      <c r="L34" s="15" t="s">
        <v>64</v>
      </c>
      <c r="M34" s="15" t="str">
        <f t="array" ref="M34">INDEX(М[Форма закупа],MATCH(1,IF(($B34=М[Наим.])*($C34=М[Артикул, марка, произв.])*($D34=М[Хар-ка])*($L34=М[Прим.]),{1},($B34=М[Наим.])*($C34=М[Артикул, марка, произв.])*($D34=М[Хар-ка])*($L34=М[Прим.])),0))</f>
        <v>Закупка подрядчик</v>
      </c>
    </row>
    <row r="35" spans="1:13" ht="23.1" customHeight="1" outlineLevel="4" x14ac:dyDescent="0.2">
      <c r="A35" s="16" t="s">
        <v>65</v>
      </c>
      <c r="B35" s="57" t="s">
        <v>66</v>
      </c>
      <c r="C35" s="15"/>
      <c r="D35" s="15" t="s">
        <v>67</v>
      </c>
      <c r="E35" s="16" t="s">
        <v>24</v>
      </c>
      <c r="F35" s="64">
        <v>1.0149999999999999</v>
      </c>
      <c r="G35" s="18">
        <v>2.56</v>
      </c>
      <c r="H35" s="18">
        <v>2.56</v>
      </c>
      <c r="I35" s="18">
        <f>SUM($G$35:$H$35)</f>
        <v>5.12</v>
      </c>
      <c r="J35" s="22">
        <f t="array" ref="J35">INDEX(М[Цена за ед., руб],MATCH(1,IF(($B35=М[Наим.])*($C35=М[Артикул, марка, произв.])*($D35=М[Хар-ка])*($L35=М[Прим.]),{1},($B35=М[Наим.])*($C35=М[Артикул, марка, произв.])*($D35=М[Хар-ка])*($L35=М[Прим.])),0))</f>
        <v>0</v>
      </c>
      <c r="K35" s="22">
        <f>ROUND($I$35*$J$35,2)</f>
        <v>0</v>
      </c>
      <c r="L35" s="15"/>
      <c r="M35" s="15" t="str">
        <f t="array" ref="M35">INDEX(М[Форма закупа],MATCH(1,IF(($B35=М[Наим.])*($C35=М[Артикул, марка, произв.])*($D35=М[Хар-ка])*($L35=М[Прим.]),{1},($B35=М[Наим.])*($C35=М[Артикул, марка, произв.])*($D35=М[Хар-ка])*($L35=М[Прим.])),0))</f>
        <v>Закупка подрядчик</v>
      </c>
    </row>
    <row r="36" spans="1:13" ht="11.1" customHeight="1" outlineLevel="4" x14ac:dyDescent="0.2">
      <c r="A36" s="56"/>
      <c r="B36" s="55" t="s">
        <v>22</v>
      </c>
      <c r="C36" s="14"/>
      <c r="D36" s="14"/>
      <c r="E36" s="14"/>
      <c r="F36" s="14"/>
      <c r="G36" s="14"/>
      <c r="H36" s="14"/>
      <c r="I36" s="14"/>
      <c r="J36" s="48"/>
      <c r="K36" s="49">
        <f>SUM($K$37)</f>
        <v>0</v>
      </c>
      <c r="L36" s="12"/>
      <c r="M36" s="12"/>
    </row>
    <row r="37" spans="1:13" ht="35.1" customHeight="1" outlineLevel="4" x14ac:dyDescent="0.2">
      <c r="A37" s="16"/>
      <c r="B37" s="57" t="s">
        <v>68</v>
      </c>
      <c r="C37" s="15"/>
      <c r="D37" s="15"/>
      <c r="E37" s="16" t="s">
        <v>24</v>
      </c>
      <c r="F37" s="17"/>
      <c r="G37" s="22">
        <v>1052.93</v>
      </c>
      <c r="H37" s="22">
        <v>1919.62</v>
      </c>
      <c r="I37" s="22">
        <f>SUM($G$37:$H$37)</f>
        <v>2972.55</v>
      </c>
      <c r="J37" s="22">
        <f t="array" ref="J37">INDEX(Р[Столбец1],MATCH(1,IF(($B37=Р[Наименование])*($L37=Р[Примечание]),{1},($B37=Р[Наименование])*($L37=Р[Примечание])),0))</f>
        <v>0</v>
      </c>
      <c r="K37" s="22">
        <f>ROUND($I$37*$J$37,2)</f>
        <v>0</v>
      </c>
      <c r="L37" s="15" t="s">
        <v>69</v>
      </c>
      <c r="M37" s="15"/>
    </row>
    <row r="38" spans="1:13" ht="11.1" customHeight="1" outlineLevel="4" x14ac:dyDescent="0.2">
      <c r="A38" s="56"/>
      <c r="B38" s="55" t="s">
        <v>26</v>
      </c>
      <c r="C38" s="14"/>
      <c r="D38" s="14"/>
      <c r="E38" s="14"/>
      <c r="F38" s="14"/>
      <c r="G38" s="14"/>
      <c r="H38" s="14"/>
      <c r="I38" s="14"/>
      <c r="J38" s="48"/>
      <c r="K38" s="49">
        <f>SUM($K$39:$K$49)</f>
        <v>0</v>
      </c>
      <c r="L38" s="12"/>
      <c r="M38" s="12"/>
    </row>
    <row r="39" spans="1:13" ht="47.1" customHeight="1" outlineLevel="4" x14ac:dyDescent="0.2">
      <c r="A39" s="16" t="s">
        <v>27</v>
      </c>
      <c r="B39" s="57" t="s">
        <v>35</v>
      </c>
      <c r="C39" s="15"/>
      <c r="D39" s="15" t="s">
        <v>70</v>
      </c>
      <c r="E39" s="16" t="s">
        <v>37</v>
      </c>
      <c r="F39" s="64">
        <v>0.14000000000000001</v>
      </c>
      <c r="G39" s="18">
        <v>4.08</v>
      </c>
      <c r="H39" s="18">
        <v>7.77</v>
      </c>
      <c r="I39" s="18">
        <f>SUM($G$39:$H$39)</f>
        <v>11.85</v>
      </c>
      <c r="J39" s="22">
        <f t="array" ref="J39">INDEX(М[Цена за ед., руб],MATCH(1,IF(($B39=М[Наим.])*($C39=М[Артикул, марка, произв.])*($D39=М[Хар-ка])*($L39=М[Прим.]),{1},($B39=М[Наим.])*($C39=М[Артикул, марка, произв.])*($D39=М[Хар-ка])*($L39=М[Прим.])),0))</f>
        <v>0</v>
      </c>
      <c r="K39" s="22">
        <f>ROUND($I$39*$J$39,2)</f>
        <v>0</v>
      </c>
      <c r="L39" s="15"/>
      <c r="M39" s="15" t="str">
        <f t="array" ref="M39">INDEX(М[Форма закупа],MATCH(1,IF(($B39=М[Наим.])*($C39=М[Артикул, марка, произв.])*($D39=М[Хар-ка])*($L39=М[Прим.]),{1},($B39=М[Наим.])*($C39=М[Артикул, марка, произв.])*($D39=М[Хар-ка])*($L39=М[Прим.])),0))</f>
        <v>Закупка подрядчик</v>
      </c>
    </row>
    <row r="40" spans="1:13" ht="47.1" customHeight="1" outlineLevel="4" x14ac:dyDescent="0.2">
      <c r="A40" s="16" t="s">
        <v>31</v>
      </c>
      <c r="B40" s="57" t="s">
        <v>35</v>
      </c>
      <c r="C40" s="15"/>
      <c r="D40" s="15" t="s">
        <v>36</v>
      </c>
      <c r="E40" s="16" t="s">
        <v>37</v>
      </c>
      <c r="F40" s="64">
        <v>0.14000000000000001</v>
      </c>
      <c r="G40" s="18">
        <v>8.43</v>
      </c>
      <c r="H40" s="18">
        <v>14.89</v>
      </c>
      <c r="I40" s="18">
        <f>SUM($G$40:$H$40)</f>
        <v>23.32</v>
      </c>
      <c r="J40" s="22">
        <f t="array" ref="J40">INDEX(М[Цена за ед., руб],MATCH(1,IF(($B40=М[Наим.])*($C40=М[Артикул, марка, произв.])*($D40=М[Хар-ка])*($L40=М[Прим.]),{1},($B40=М[Наим.])*($C40=М[Артикул, марка, произв.])*($D40=М[Хар-ка])*($L40=М[Прим.])),0))</f>
        <v>0</v>
      </c>
      <c r="K40" s="22">
        <f>ROUND($I$40*$J$40,2)</f>
        <v>0</v>
      </c>
      <c r="L40" s="15"/>
      <c r="M40" s="15" t="str">
        <f t="array" ref="M40">INDEX(М[Форма закупа],MATCH(1,IF(($B40=М[Наим.])*($C40=М[Артикул, марка, произв.])*($D40=М[Хар-ка])*($L40=М[Прим.]),{1},($B40=М[Наим.])*($C40=М[Артикул, марка, произв.])*($D40=М[Хар-ка])*($L40=М[Прим.])),0))</f>
        <v>Закупка подрядчик</v>
      </c>
    </row>
    <row r="41" spans="1:13" ht="11.1" customHeight="1" outlineLevel="4" x14ac:dyDescent="0.2">
      <c r="A41" s="16" t="s">
        <v>34</v>
      </c>
      <c r="B41" s="57" t="s">
        <v>39</v>
      </c>
      <c r="C41" s="15"/>
      <c r="D41" s="15" t="s">
        <v>40</v>
      </c>
      <c r="E41" s="16" t="s">
        <v>24</v>
      </c>
      <c r="F41" s="64">
        <v>7.6999999999999999E-2</v>
      </c>
      <c r="G41" s="18">
        <v>6.88</v>
      </c>
      <c r="H41" s="18">
        <v>12.46</v>
      </c>
      <c r="I41" s="18">
        <f>SUM($G$41:$H$41)</f>
        <v>19.34</v>
      </c>
      <c r="J41" s="22">
        <f t="array" ref="J41">INDEX(М[Цена за ед., руб],MATCH(1,IF(($B41=М[Наим.])*($C41=М[Артикул, марка, произв.])*($D41=М[Хар-ка])*($L41=М[Прим.]),{1},($B41=М[Наим.])*($C41=М[Артикул, марка, произв.])*($D41=М[Хар-ка])*($L41=М[Прим.])),0))</f>
        <v>0</v>
      </c>
      <c r="K41" s="22">
        <f>ROUND($I$41*$J$41,2)</f>
        <v>0</v>
      </c>
      <c r="L41" s="15"/>
      <c r="M41" s="15" t="str">
        <f t="array" ref="M41">INDEX(М[Форма закупа],MATCH(1,IF(($B41=М[Наим.])*($C41=М[Артикул, марка, произв.])*($D41=М[Хар-ка])*($L41=М[Прим.]),{1},($B41=М[Наим.])*($C41=М[Артикул, марка, произв.])*($D41=М[Хар-ка])*($L41=М[Прим.])),0))</f>
        <v>Закупка подрядчик</v>
      </c>
    </row>
    <row r="42" spans="1:13" ht="11.1" customHeight="1" outlineLevel="4" x14ac:dyDescent="0.2">
      <c r="A42" s="16" t="s">
        <v>38</v>
      </c>
      <c r="B42" s="57" t="s">
        <v>42</v>
      </c>
      <c r="C42" s="15"/>
      <c r="D42" s="15" t="s">
        <v>43</v>
      </c>
      <c r="E42" s="16" t="s">
        <v>44</v>
      </c>
      <c r="F42" s="65"/>
      <c r="G42" s="20">
        <v>244</v>
      </c>
      <c r="H42" s="20">
        <v>464</v>
      </c>
      <c r="I42" s="20">
        <f>SUM($G$42:$H$42)</f>
        <v>708</v>
      </c>
      <c r="J42" s="22">
        <f t="array" ref="J42">INDEX(М[Цена за ед., руб],MATCH(1,IF(($B42=М[Наим.])*($C42=М[Артикул, марка, произв.])*($D42=М[Хар-ка])*($L42=М[Прим.]),{1},($B42=М[Наим.])*($C42=М[Артикул, марка, произв.])*($D42=М[Хар-ка])*($L42=М[Прим.])),0))</f>
        <v>0</v>
      </c>
      <c r="K42" s="22">
        <f>ROUND($I$42*$J$42,2)</f>
        <v>0</v>
      </c>
      <c r="L42" s="15"/>
      <c r="M42" s="15" t="str">
        <f t="array" ref="M42">INDEX(М[Форма закупа],MATCH(1,IF(($B42=М[Наим.])*($C42=М[Артикул, марка, произв.])*($D42=М[Хар-ка])*($L42=М[Прим.]),{1},($B42=М[Наим.])*($C42=М[Артикул, марка, произв.])*($D42=М[Хар-ка])*($L42=М[Прим.])),0))</f>
        <v>Закупка подрядчик</v>
      </c>
    </row>
    <row r="43" spans="1:13" ht="11.1" customHeight="1" outlineLevel="4" x14ac:dyDescent="0.2">
      <c r="A43" s="16" t="s">
        <v>41</v>
      </c>
      <c r="B43" s="57" t="s">
        <v>46</v>
      </c>
      <c r="C43" s="15"/>
      <c r="D43" s="15" t="s">
        <v>47</v>
      </c>
      <c r="E43" s="16" t="s">
        <v>24</v>
      </c>
      <c r="F43" s="64">
        <v>1.4999999999999999E-2</v>
      </c>
      <c r="G43" s="18">
        <v>15.79</v>
      </c>
      <c r="H43" s="18">
        <v>28.79</v>
      </c>
      <c r="I43" s="18">
        <f>SUM($G$43:$H$43)</f>
        <v>44.58</v>
      </c>
      <c r="J43" s="22">
        <f t="array" ref="J43">INDEX(М[Цена за ед., руб],MATCH(1,IF(($B43=М[Наим.])*($C43=М[Артикул, марка, произв.])*($D43=М[Хар-ка])*($L43=М[Прим.]),{1},($B43=М[Наим.])*($C43=М[Артикул, марка, произв.])*($D43=М[Хар-ка])*($L43=М[Прим.])),0))</f>
        <v>0</v>
      </c>
      <c r="K43" s="22">
        <f>ROUND($I$43*$J$43,2)</f>
        <v>0</v>
      </c>
      <c r="L43" s="15"/>
      <c r="M43" s="15" t="str">
        <f t="array" ref="M43">INDEX(М[Форма закупа],MATCH(1,IF(($B43=М[Наим.])*($C43=М[Артикул, марка, произв.])*($D43=М[Хар-ка])*($L43=М[Прим.]),{1},($B43=М[Наим.])*($C43=М[Артикул, марка, произв.])*($D43=М[Хар-ка])*($L43=М[Прим.])),0))</f>
        <v>Закупка подрядчик</v>
      </c>
    </row>
    <row r="44" spans="1:13" ht="11.1" customHeight="1" outlineLevel="4" x14ac:dyDescent="0.2">
      <c r="A44" s="16" t="s">
        <v>45</v>
      </c>
      <c r="B44" s="57" t="s">
        <v>57</v>
      </c>
      <c r="C44" s="15"/>
      <c r="D44" s="15" t="s">
        <v>58</v>
      </c>
      <c r="E44" s="16" t="s">
        <v>24</v>
      </c>
      <c r="F44" s="64">
        <v>1.0149999999999999</v>
      </c>
      <c r="G44" s="18">
        <v>6.85</v>
      </c>
      <c r="H44" s="18">
        <v>12.11</v>
      </c>
      <c r="I44" s="18">
        <f>SUM($G$44:$H$44)</f>
        <v>18.96</v>
      </c>
      <c r="J44" s="22">
        <f t="array" ref="J44">INDEX(М[Цена за ед., руб],MATCH(1,IF(($B44=М[Наим.])*($C44=М[Артикул, марка, произв.])*($D44=М[Хар-ка])*($L44=М[Прим.]),{1},($B44=М[Наим.])*($C44=М[Артикул, марка, произв.])*($D44=М[Хар-ка])*($L44=М[Прим.])),0))</f>
        <v>0</v>
      </c>
      <c r="K44" s="22">
        <f>ROUND($I$44*$J$44,2)</f>
        <v>0</v>
      </c>
      <c r="L44" s="15"/>
      <c r="M44" s="15" t="str">
        <f t="array" ref="M44">INDEX(М[Форма закупа],MATCH(1,IF(($B44=М[Наим.])*($C44=М[Артикул, марка, произв.])*($D44=М[Хар-ка])*($L44=М[Прим.]),{1},($B44=М[Наим.])*($C44=М[Артикул, марка, произв.])*($D44=М[Хар-ка])*($L44=М[Прим.])),0))</f>
        <v>Закупка подрядчик</v>
      </c>
    </row>
    <row r="45" spans="1:13" ht="11.1" customHeight="1" outlineLevel="4" x14ac:dyDescent="0.2">
      <c r="A45" s="16" t="s">
        <v>48</v>
      </c>
      <c r="B45" s="57" t="s">
        <v>57</v>
      </c>
      <c r="C45" s="15"/>
      <c r="D45" s="15" t="s">
        <v>71</v>
      </c>
      <c r="E45" s="16" t="s">
        <v>24</v>
      </c>
      <c r="F45" s="64">
        <v>1.0149999999999999</v>
      </c>
      <c r="G45" s="18">
        <v>391.21</v>
      </c>
      <c r="H45" s="18">
        <v>743.56</v>
      </c>
      <c r="I45" s="22">
        <f>SUM($G$45:$H$45)</f>
        <v>1134.77</v>
      </c>
      <c r="J45" s="22">
        <f t="array" ref="J45">INDEX(М[Цена за ед., руб],MATCH(1,IF(($B45=М[Наим.])*($C45=М[Артикул, марка, произв.])*($D45=М[Хар-ка])*($L45=М[Прим.]),{1},($B45=М[Наим.])*($C45=М[Артикул, марка, произв.])*($D45=М[Хар-ка])*($L45=М[Прим.])),0))</f>
        <v>0</v>
      </c>
      <c r="K45" s="22">
        <f>ROUND($I$45*$J$45,2)</f>
        <v>0</v>
      </c>
      <c r="L45" s="15"/>
      <c r="M45" s="15" t="str">
        <f t="array" ref="M45">INDEX(М[Форма закупа],MATCH(1,IF(($B45=М[Наим.])*($C45=М[Артикул, марка, произв.])*($D45=М[Хар-ка])*($L45=М[Прим.]),{1},($B45=М[Наим.])*($C45=М[Артикул, марка, произв.])*($D45=М[Хар-ка])*($L45=М[Прим.])),0))</f>
        <v>Закупка подрядчик</v>
      </c>
    </row>
    <row r="46" spans="1:13" ht="11.1" customHeight="1" outlineLevel="4" x14ac:dyDescent="0.2">
      <c r="A46" s="16" t="s">
        <v>61</v>
      </c>
      <c r="B46" s="57" t="s">
        <v>57</v>
      </c>
      <c r="C46" s="15"/>
      <c r="D46" s="15" t="s">
        <v>59</v>
      </c>
      <c r="E46" s="16" t="s">
        <v>24</v>
      </c>
      <c r="F46" s="64">
        <v>1.0149999999999999</v>
      </c>
      <c r="G46" s="18">
        <v>396.78</v>
      </c>
      <c r="H46" s="18">
        <v>701.71</v>
      </c>
      <c r="I46" s="22">
        <f>SUM($G$46:$H$46)</f>
        <v>1098.49</v>
      </c>
      <c r="J46" s="22">
        <f t="array" ref="J46">INDEX(М[Цена за ед., руб],MATCH(1,IF(($B46=М[Наим.])*($C46=М[Артикул, марка, произв.])*($D46=М[Хар-ка])*($L46=М[Прим.]),{1},($B46=М[Наим.])*($C46=М[Артикул, марка, произв.])*($D46=М[Хар-ка])*($L46=М[Прим.])),0))</f>
        <v>0</v>
      </c>
      <c r="K46" s="22">
        <f>ROUND($I$46*$J$46,2)</f>
        <v>0</v>
      </c>
      <c r="L46" s="15"/>
      <c r="M46" s="15" t="str">
        <f t="array" ref="M46">INDEX(М[Форма закупа],MATCH(1,IF(($B46=М[Наим.])*($C46=М[Артикул, марка, произв.])*($D46=М[Хар-ка])*($L46=М[Прим.]),{1},($B46=М[Наим.])*($C46=М[Артикул, марка, произв.])*($D46=М[Хар-ка])*($L46=М[Прим.])),0))</f>
        <v>Закупка подрядчик</v>
      </c>
    </row>
    <row r="47" spans="1:13" ht="11.1" customHeight="1" outlineLevel="4" x14ac:dyDescent="0.2">
      <c r="A47" s="16" t="s">
        <v>65</v>
      </c>
      <c r="B47" s="57" t="s">
        <v>57</v>
      </c>
      <c r="C47" s="15"/>
      <c r="D47" s="15" t="s">
        <v>60</v>
      </c>
      <c r="E47" s="16" t="s">
        <v>24</v>
      </c>
      <c r="F47" s="64">
        <v>1.0149999999999999</v>
      </c>
      <c r="G47" s="18">
        <v>104.74</v>
      </c>
      <c r="H47" s="21">
        <v>185.5</v>
      </c>
      <c r="I47" s="18">
        <f>SUM($G$47:$H$47)</f>
        <v>290.24</v>
      </c>
      <c r="J47" s="22">
        <f t="array" ref="J47">INDEX(М[Цена за ед., руб],MATCH(1,IF(($B47=М[Наим.])*($C47=М[Артикул, марка, произв.])*($D47=М[Хар-ка])*($L47=М[Прим.]),{1},($B47=М[Наим.])*($C47=М[Артикул, марка, произв.])*($D47=М[Хар-ка])*($L47=М[Прим.])),0))</f>
        <v>0</v>
      </c>
      <c r="K47" s="22">
        <f>ROUND($I$47*$J$47,2)</f>
        <v>0</v>
      </c>
      <c r="L47" s="15"/>
      <c r="M47" s="15" t="str">
        <f t="array" ref="M47">INDEX(М[Форма закупа],MATCH(1,IF(($B47=М[Наим.])*($C47=М[Артикул, марка, произв.])*($D47=М[Хар-ка])*($L47=М[Прим.]),{1},($B47=М[Наим.])*($C47=М[Артикул, марка, произв.])*($D47=М[Хар-ка])*($L47=М[Прим.])),0))</f>
        <v>Закупка подрядчик</v>
      </c>
    </row>
    <row r="48" spans="1:13" ht="23.1" customHeight="1" outlineLevel="4" x14ac:dyDescent="0.2">
      <c r="A48" s="16" t="s">
        <v>72</v>
      </c>
      <c r="B48" s="57" t="s">
        <v>62</v>
      </c>
      <c r="C48" s="15"/>
      <c r="D48" s="15" t="s">
        <v>73</v>
      </c>
      <c r="E48" s="16" t="s">
        <v>24</v>
      </c>
      <c r="F48" s="64">
        <v>1.0149999999999999</v>
      </c>
      <c r="G48" s="18">
        <v>44.49</v>
      </c>
      <c r="H48" s="18">
        <v>84.99</v>
      </c>
      <c r="I48" s="18">
        <f>SUM($G$48:$H$48)</f>
        <v>129.47999999999999</v>
      </c>
      <c r="J48" s="22">
        <f t="array" ref="J48">INDEX(М[Цена за ед., руб],MATCH(1,IF(($B48=М[Наим.])*($C48=М[Артикул, марка, произв.])*($D48=М[Хар-ка])*($L48=М[Прим.]),{1},($B48=М[Наим.])*($C48=М[Артикул, марка, произв.])*($D48=М[Хар-ка])*($L48=М[Прим.])),0))</f>
        <v>0</v>
      </c>
      <c r="K48" s="22">
        <f>ROUND($I$48*$J$48,2)</f>
        <v>0</v>
      </c>
      <c r="L48" s="15" t="s">
        <v>74</v>
      </c>
      <c r="M48" s="15" t="str">
        <f t="array" ref="M48">INDEX(М[Форма закупа],MATCH(1,IF(($B48=М[Наим.])*($C48=М[Артикул, марка, произв.])*($D48=М[Хар-ка])*($L48=М[Прим.]),{1},($B48=М[Наим.])*($C48=М[Артикул, марка, произв.])*($D48=М[Хар-ка])*($L48=М[Прим.])),0))</f>
        <v>Закупка подрядчик</v>
      </c>
    </row>
    <row r="49" spans="1:13" ht="23.1" customHeight="1" outlineLevel="4" x14ac:dyDescent="0.2">
      <c r="A49" s="16" t="s">
        <v>75</v>
      </c>
      <c r="B49" s="57" t="s">
        <v>66</v>
      </c>
      <c r="C49" s="15"/>
      <c r="D49" s="15" t="s">
        <v>67</v>
      </c>
      <c r="E49" s="16" t="s">
        <v>24</v>
      </c>
      <c r="F49" s="64">
        <v>1.0149999999999999</v>
      </c>
      <c r="G49" s="18">
        <v>124.65</v>
      </c>
      <c r="H49" s="18">
        <v>220.54</v>
      </c>
      <c r="I49" s="18">
        <f>SUM($G$49:$H$49)</f>
        <v>345.19</v>
      </c>
      <c r="J49" s="22">
        <f t="array" ref="J49">INDEX(М[Цена за ед., руб],MATCH(1,IF(($B49=М[Наим.])*($C49=М[Артикул, марка, произв.])*($D49=М[Хар-ка])*($L49=М[Прим.]),{1},($B49=М[Наим.])*($C49=М[Артикул, марка, произв.])*($D49=М[Хар-ка])*($L49=М[Прим.])),0))</f>
        <v>0</v>
      </c>
      <c r="K49" s="22">
        <f>ROUND($I$49*$J$49,2)</f>
        <v>0</v>
      </c>
      <c r="L49" s="15"/>
      <c r="M49" s="15" t="str">
        <f t="array" ref="M49">INDEX(М[Форма закупа],MATCH(1,IF(($B49=М[Наим.])*($C49=М[Артикул, марка, произв.])*($D49=М[Хар-ка])*($L49=М[Прим.]),{1},($B49=М[Наим.])*($C49=М[Артикул, марка, произв.])*($D49=М[Хар-ка])*($L49=М[Прим.])),0))</f>
        <v>Закупка подрядчик</v>
      </c>
    </row>
    <row r="50" spans="1:13" ht="11.1" customHeight="1" outlineLevel="4" x14ac:dyDescent="0.2">
      <c r="A50" s="56"/>
      <c r="B50" s="55" t="s">
        <v>22</v>
      </c>
      <c r="C50" s="14"/>
      <c r="D50" s="14"/>
      <c r="E50" s="14"/>
      <c r="F50" s="14"/>
      <c r="G50" s="14"/>
      <c r="H50" s="14"/>
      <c r="I50" s="14"/>
      <c r="J50" s="48"/>
      <c r="K50" s="49">
        <f>SUM($K$51)</f>
        <v>0</v>
      </c>
      <c r="L50" s="12"/>
      <c r="M50" s="12"/>
    </row>
    <row r="51" spans="1:13" ht="23.1" customHeight="1" outlineLevel="4" x14ac:dyDescent="0.2">
      <c r="A51" s="16"/>
      <c r="B51" s="57" t="s">
        <v>76</v>
      </c>
      <c r="C51" s="15"/>
      <c r="D51" s="15"/>
      <c r="E51" s="16" t="s">
        <v>24</v>
      </c>
      <c r="F51" s="17"/>
      <c r="G51" s="18">
        <v>378.22</v>
      </c>
      <c r="H51" s="18">
        <v>101.72</v>
      </c>
      <c r="I51" s="18">
        <f>SUM($G$51:$H$51)</f>
        <v>479.94000000000005</v>
      </c>
      <c r="J51" s="22">
        <f t="array" ref="J51">INDEX(Р[Столбец1],MATCH(1,IF(($B51=Р[Наименование])*($L51=Р[Примечание]),{1},($B51=Р[Наименование])*($L51=Р[Примечание])),0))</f>
        <v>0</v>
      </c>
      <c r="K51" s="22">
        <f>ROUND($I$51*$J$51,2)</f>
        <v>0</v>
      </c>
      <c r="L51" s="15" t="s">
        <v>77</v>
      </c>
      <c r="M51" s="15"/>
    </row>
    <row r="52" spans="1:13" ht="11.1" customHeight="1" outlineLevel="4" x14ac:dyDescent="0.2">
      <c r="A52" s="56"/>
      <c r="B52" s="55" t="s">
        <v>26</v>
      </c>
      <c r="C52" s="14"/>
      <c r="D52" s="14"/>
      <c r="E52" s="14"/>
      <c r="F52" s="14"/>
      <c r="G52" s="14"/>
      <c r="H52" s="14"/>
      <c r="I52" s="14"/>
      <c r="J52" s="48"/>
      <c r="K52" s="49">
        <f>SUM($K$53:$K$64)</f>
        <v>0</v>
      </c>
      <c r="L52" s="12"/>
      <c r="M52" s="12"/>
    </row>
    <row r="53" spans="1:13" ht="47.1" customHeight="1" outlineLevel="4" x14ac:dyDescent="0.2">
      <c r="A53" s="16" t="s">
        <v>27</v>
      </c>
      <c r="B53" s="57" t="s">
        <v>35</v>
      </c>
      <c r="C53" s="15"/>
      <c r="D53" s="15" t="s">
        <v>70</v>
      </c>
      <c r="E53" s="16" t="s">
        <v>37</v>
      </c>
      <c r="F53" s="64">
        <v>0.14000000000000001</v>
      </c>
      <c r="G53" s="18">
        <v>2.64</v>
      </c>
      <c r="H53" s="17"/>
      <c r="I53" s="18">
        <f>SUM($G$53:$H$53)</f>
        <v>2.64</v>
      </c>
      <c r="J53" s="22">
        <f t="array" ref="J53">INDEX(М[Цена за ед., руб],MATCH(1,IF(($B53=М[Наим.])*($C53=М[Артикул, марка, произв.])*($D53=М[Хар-ка])*($L53=М[Прим.]),{1},($B53=М[Наим.])*($C53=М[Артикул, марка, произв.])*($D53=М[Хар-ка])*($L53=М[Прим.])),0))</f>
        <v>0</v>
      </c>
      <c r="K53" s="22">
        <f>ROUND($I$53*$J$53,2)</f>
        <v>0</v>
      </c>
      <c r="L53" s="15"/>
      <c r="M53" s="15" t="str">
        <f t="array" ref="M53">INDEX(М[Форма закупа],MATCH(1,IF(($B53=М[Наим.])*($C53=М[Артикул, марка, произв.])*($D53=М[Хар-ка])*($L53=М[Прим.]),{1},($B53=М[Наим.])*($C53=М[Артикул, марка, произв.])*($D53=М[Хар-ка])*($L53=М[Прим.])),0))</f>
        <v>Закупка подрядчик</v>
      </c>
    </row>
    <row r="54" spans="1:13" ht="47.1" customHeight="1" outlineLevel="4" x14ac:dyDescent="0.2">
      <c r="A54" s="16" t="s">
        <v>31</v>
      </c>
      <c r="B54" s="57" t="s">
        <v>35</v>
      </c>
      <c r="C54" s="15"/>
      <c r="D54" s="15" t="s">
        <v>36</v>
      </c>
      <c r="E54" s="16" t="s">
        <v>37</v>
      </c>
      <c r="F54" s="64">
        <v>0.14000000000000001</v>
      </c>
      <c r="G54" s="18">
        <v>1.32</v>
      </c>
      <c r="H54" s="18">
        <v>1.32</v>
      </c>
      <c r="I54" s="18">
        <f>SUM($G$54:$H$54)</f>
        <v>2.64</v>
      </c>
      <c r="J54" s="22">
        <f t="array" ref="J54">INDEX(М[Цена за ед., руб],MATCH(1,IF(($B54=М[Наим.])*($C54=М[Артикул, марка, произв.])*($D54=М[Хар-ка])*($L54=М[Прим.]),{1},($B54=М[Наим.])*($C54=М[Артикул, марка, произв.])*($D54=М[Хар-ка])*($L54=М[Прим.])),0))</f>
        <v>0</v>
      </c>
      <c r="K54" s="22">
        <f>ROUND($I$54*$J$54,2)</f>
        <v>0</v>
      </c>
      <c r="L54" s="15"/>
      <c r="M54" s="15" t="str">
        <f t="array" ref="M54">INDEX(М[Форма закупа],MATCH(1,IF(($B54=М[Наим.])*($C54=М[Артикул, марка, произв.])*($D54=М[Хар-ка])*($L54=М[Прим.]),{1},($B54=М[Наим.])*($C54=М[Артикул, марка, произв.])*($D54=М[Хар-ка])*($L54=М[Прим.])),0))</f>
        <v>Закупка подрядчик</v>
      </c>
    </row>
    <row r="55" spans="1:13" ht="11.1" customHeight="1" outlineLevel="4" x14ac:dyDescent="0.2">
      <c r="A55" s="16" t="s">
        <v>34</v>
      </c>
      <c r="B55" s="57" t="s">
        <v>39</v>
      </c>
      <c r="C55" s="15"/>
      <c r="D55" s="15" t="s">
        <v>40</v>
      </c>
      <c r="E55" s="16" t="s">
        <v>24</v>
      </c>
      <c r="F55" s="64">
        <v>7.6999999999999999E-2</v>
      </c>
      <c r="G55" s="18">
        <v>2.1800000000000002</v>
      </c>
      <c r="H55" s="18">
        <v>0.73</v>
      </c>
      <c r="I55" s="18">
        <f>SUM($G$55:$H$55)</f>
        <v>2.91</v>
      </c>
      <c r="J55" s="22">
        <f t="array" ref="J55">INDEX(М[Цена за ед., руб],MATCH(1,IF(($B55=М[Наим.])*($C55=М[Артикул, марка, произв.])*($D55=М[Хар-ка])*($L55=М[Прим.]),{1},($B55=М[Наим.])*($C55=М[Артикул, марка, произв.])*($D55=М[Хар-ка])*($L55=М[Прим.])),0))</f>
        <v>0</v>
      </c>
      <c r="K55" s="22">
        <f>ROUND($I$55*$J$55,2)</f>
        <v>0</v>
      </c>
      <c r="L55" s="15"/>
      <c r="M55" s="15" t="str">
        <f t="array" ref="M55">INDEX(М[Форма закупа],MATCH(1,IF(($B55=М[Наим.])*($C55=М[Артикул, марка, произв.])*($D55=М[Хар-ка])*($L55=М[Прим.]),{1},($B55=М[Наим.])*($C55=М[Артикул, марка, произв.])*($D55=М[Хар-ка])*($L55=М[Прим.])),0))</f>
        <v>Закупка подрядчик</v>
      </c>
    </row>
    <row r="56" spans="1:13" ht="11.1" customHeight="1" outlineLevel="4" x14ac:dyDescent="0.2">
      <c r="A56" s="16" t="s">
        <v>38</v>
      </c>
      <c r="B56" s="57" t="s">
        <v>42</v>
      </c>
      <c r="C56" s="15"/>
      <c r="D56" s="15" t="s">
        <v>43</v>
      </c>
      <c r="E56" s="16" t="s">
        <v>44</v>
      </c>
      <c r="F56" s="65"/>
      <c r="G56" s="20">
        <v>181</v>
      </c>
      <c r="H56" s="20">
        <v>37</v>
      </c>
      <c r="I56" s="20">
        <f>SUM($G$56:$H$56)</f>
        <v>218</v>
      </c>
      <c r="J56" s="22">
        <f t="array" ref="J56">INDEX(М[Цена за ед., руб],MATCH(1,IF(($B56=М[Наим.])*($C56=М[Артикул, марка, произв.])*($D56=М[Хар-ка])*($L56=М[Прим.]),{1},($B56=М[Наим.])*($C56=М[Артикул, марка, произв.])*($D56=М[Хар-ка])*($L56=М[Прим.])),0))</f>
        <v>0</v>
      </c>
      <c r="K56" s="22">
        <f>ROUND($I$56*$J$56,2)</f>
        <v>0</v>
      </c>
      <c r="L56" s="15"/>
      <c r="M56" s="15" t="str">
        <f t="array" ref="M56">INDEX(М[Форма закупа],MATCH(1,IF(($B56=М[Наим.])*($C56=М[Артикул, марка, произв.])*($D56=М[Хар-ка])*($L56=М[Прим.]),{1},($B56=М[Наим.])*($C56=М[Артикул, марка, произв.])*($D56=М[Хар-ка])*($L56=М[Прим.])),0))</f>
        <v>Закупка подрядчик</v>
      </c>
    </row>
    <row r="57" spans="1:13" ht="11.1" customHeight="1" outlineLevel="4" x14ac:dyDescent="0.2">
      <c r="A57" s="16" t="s">
        <v>41</v>
      </c>
      <c r="B57" s="57" t="s">
        <v>46</v>
      </c>
      <c r="C57" s="15"/>
      <c r="D57" s="15" t="s">
        <v>47</v>
      </c>
      <c r="E57" s="16" t="s">
        <v>24</v>
      </c>
      <c r="F57" s="64">
        <v>1.4999999999999999E-2</v>
      </c>
      <c r="G57" s="18">
        <v>5.67</v>
      </c>
      <c r="H57" s="18">
        <v>1.53</v>
      </c>
      <c r="I57" s="21">
        <f>SUM($G$57:$H$57)</f>
        <v>7.2</v>
      </c>
      <c r="J57" s="22">
        <f t="array" ref="J57">INDEX(М[Цена за ед., руб],MATCH(1,IF(($B57=М[Наим.])*($C57=М[Артикул, марка, произв.])*($D57=М[Хар-ка])*($L57=М[Прим.]),{1},($B57=М[Наим.])*($C57=М[Артикул, марка, произв.])*($D57=М[Хар-ка])*($L57=М[Прим.])),0))</f>
        <v>0</v>
      </c>
      <c r="K57" s="22">
        <f>ROUND($I$57*$J$57,2)</f>
        <v>0</v>
      </c>
      <c r="L57" s="15"/>
      <c r="M57" s="15" t="str">
        <f t="array" ref="M57">INDEX(М[Форма закупа],MATCH(1,IF(($B57=М[Наим.])*($C57=М[Артикул, марка, произв.])*($D57=М[Хар-ка])*($L57=М[Прим.]),{1},($B57=М[Наим.])*($C57=М[Артикул, марка, произв.])*($D57=М[Хар-ка])*($L57=М[Прим.])),0))</f>
        <v>Закупка подрядчик</v>
      </c>
    </row>
    <row r="58" spans="1:13" ht="11.1" customHeight="1" outlineLevel="4" x14ac:dyDescent="0.2">
      <c r="A58" s="16" t="s">
        <v>45</v>
      </c>
      <c r="B58" s="57" t="s">
        <v>57</v>
      </c>
      <c r="C58" s="15"/>
      <c r="D58" s="15" t="s">
        <v>58</v>
      </c>
      <c r="E58" s="16" t="s">
        <v>24</v>
      </c>
      <c r="F58" s="64">
        <v>1.0149999999999999</v>
      </c>
      <c r="G58" s="18">
        <v>0.89</v>
      </c>
      <c r="H58" s="18">
        <v>0.89</v>
      </c>
      <c r="I58" s="18">
        <f>SUM($G$58:$H$58)</f>
        <v>1.78</v>
      </c>
      <c r="J58" s="22">
        <f t="array" ref="J58">INDEX(М[Цена за ед., руб],MATCH(1,IF(($B58=М[Наим.])*($C58=М[Артикул, марка, произв.])*($D58=М[Хар-ка])*($L58=М[Прим.]),{1},($B58=М[Наим.])*($C58=М[Артикул, марка, произв.])*($D58=М[Хар-ка])*($L58=М[Прим.])),0))</f>
        <v>0</v>
      </c>
      <c r="K58" s="22">
        <f>ROUND($I$58*$J$58,2)</f>
        <v>0</v>
      </c>
      <c r="L58" s="15"/>
      <c r="M58" s="15" t="str">
        <f t="array" ref="M58">INDEX(М[Форма закупа],MATCH(1,IF(($B58=М[Наим.])*($C58=М[Артикул, марка, произв.])*($D58=М[Хар-ка])*($L58=М[Прим.]),{1},($B58=М[Наим.])*($C58=М[Артикул, марка, произв.])*($D58=М[Хар-ка])*($L58=М[Прим.])),0))</f>
        <v>Закупка подрядчик</v>
      </c>
    </row>
    <row r="59" spans="1:13" ht="11.1" customHeight="1" outlineLevel="4" x14ac:dyDescent="0.2">
      <c r="A59" s="16" t="s">
        <v>48</v>
      </c>
      <c r="B59" s="57" t="s">
        <v>57</v>
      </c>
      <c r="C59" s="15"/>
      <c r="D59" s="15" t="s">
        <v>71</v>
      </c>
      <c r="E59" s="16" t="s">
        <v>24</v>
      </c>
      <c r="F59" s="64">
        <v>1.0149999999999999</v>
      </c>
      <c r="G59" s="18">
        <v>256.92</v>
      </c>
      <c r="H59" s="18">
        <v>2.78</v>
      </c>
      <c r="I59" s="21">
        <f>SUM($G$59:$H$59)</f>
        <v>259.7</v>
      </c>
      <c r="J59" s="22">
        <f t="array" ref="J59">INDEX(М[Цена за ед., руб],MATCH(1,IF(($B59=М[Наим.])*($C59=М[Артикул, марка, произв.])*($D59=М[Хар-ка])*($L59=М[Прим.]),{1},($B59=М[Наим.])*($C59=М[Артикул, марка, произв.])*($D59=М[Хар-ка])*($L59=М[Прим.])),0))</f>
        <v>0</v>
      </c>
      <c r="K59" s="22">
        <f>ROUND($I$59*$J$59,2)</f>
        <v>0</v>
      </c>
      <c r="L59" s="15"/>
      <c r="M59" s="15" t="str">
        <f t="array" ref="M59">INDEX(М[Форма закупа],MATCH(1,IF(($B59=М[Наим.])*($C59=М[Артикул, марка, произв.])*($D59=М[Хар-ка])*($L59=М[Прим.]),{1},($B59=М[Наим.])*($C59=М[Артикул, марка, произв.])*($D59=М[Хар-ка])*($L59=М[Прим.])),0))</f>
        <v>Закупка подрядчик</v>
      </c>
    </row>
    <row r="60" spans="1:13" ht="11.1" customHeight="1" outlineLevel="4" x14ac:dyDescent="0.2">
      <c r="A60" s="16" t="s">
        <v>61</v>
      </c>
      <c r="B60" s="57" t="s">
        <v>57</v>
      </c>
      <c r="C60" s="15"/>
      <c r="D60" s="15" t="s">
        <v>59</v>
      </c>
      <c r="E60" s="16" t="s">
        <v>24</v>
      </c>
      <c r="F60" s="64">
        <v>1.0149999999999999</v>
      </c>
      <c r="G60" s="18">
        <v>60.28</v>
      </c>
      <c r="H60" s="18">
        <v>60.28</v>
      </c>
      <c r="I60" s="18">
        <f>SUM($G$60:$H$60)</f>
        <v>120.56</v>
      </c>
      <c r="J60" s="22">
        <f t="array" ref="J60">INDEX(М[Цена за ед., руб],MATCH(1,IF(($B60=М[Наим.])*($C60=М[Артикул, марка, произв.])*($D60=М[Хар-ка])*($L60=М[Прим.]),{1},($B60=М[Наим.])*($C60=М[Артикул, марка, произв.])*($D60=М[Хар-ка])*($L60=М[Прим.])),0))</f>
        <v>0</v>
      </c>
      <c r="K60" s="22">
        <f>ROUND($I$60*$J$60,2)</f>
        <v>0</v>
      </c>
      <c r="L60" s="15"/>
      <c r="M60" s="15" t="str">
        <f t="array" ref="M60">INDEX(М[Форма закупа],MATCH(1,IF(($B60=М[Наим.])*($C60=М[Артикул, марка, произв.])*($D60=М[Хар-ка])*($L60=М[Прим.]),{1},($B60=М[Наим.])*($C60=М[Артикул, марка, произв.])*($D60=М[Хар-ка])*($L60=М[Прим.])),0))</f>
        <v>Закупка подрядчик</v>
      </c>
    </row>
    <row r="61" spans="1:13" ht="11.1" customHeight="1" outlineLevel="4" x14ac:dyDescent="0.2">
      <c r="A61" s="16" t="s">
        <v>65</v>
      </c>
      <c r="B61" s="57" t="s">
        <v>57</v>
      </c>
      <c r="C61" s="15"/>
      <c r="D61" s="15" t="s">
        <v>60</v>
      </c>
      <c r="E61" s="16" t="s">
        <v>24</v>
      </c>
      <c r="F61" s="64">
        <v>1.0149999999999999</v>
      </c>
      <c r="G61" s="18">
        <v>15.98</v>
      </c>
      <c r="H61" s="18">
        <v>15.98</v>
      </c>
      <c r="I61" s="18">
        <f>SUM($G$61:$H$61)</f>
        <v>31.96</v>
      </c>
      <c r="J61" s="22">
        <f t="array" ref="J61">INDEX(М[Цена за ед., руб],MATCH(1,IF(($B61=М[Наим.])*($C61=М[Артикул, марка, произв.])*($D61=М[Хар-ка])*($L61=М[Прим.]),{1},($B61=М[Наим.])*($C61=М[Артикул, марка, произв.])*($D61=М[Хар-ка])*($L61=М[Прим.])),0))</f>
        <v>0</v>
      </c>
      <c r="K61" s="22">
        <f>ROUND($I$61*$J$61,2)</f>
        <v>0</v>
      </c>
      <c r="L61" s="15"/>
      <c r="M61" s="15" t="str">
        <f t="array" ref="M61">INDEX(М[Форма закупа],MATCH(1,IF(($B61=М[Наим.])*($C61=М[Артикул, марка, произв.])*($D61=М[Хар-ка])*($L61=М[Прим.]),{1},($B61=М[Наим.])*($C61=М[Артикул, марка, произв.])*($D61=М[Хар-ка])*($L61=М[Прим.])),0))</f>
        <v>Закупка подрядчик</v>
      </c>
    </row>
    <row r="62" spans="1:13" ht="11.1" customHeight="1" outlineLevel="4" x14ac:dyDescent="0.2">
      <c r="A62" s="16" t="s">
        <v>72</v>
      </c>
      <c r="B62" s="57" t="s">
        <v>62</v>
      </c>
      <c r="C62" s="15"/>
      <c r="D62" s="15" t="s">
        <v>63</v>
      </c>
      <c r="E62" s="16" t="s">
        <v>24</v>
      </c>
      <c r="F62" s="64">
        <v>1.0149999999999999</v>
      </c>
      <c r="G62" s="18">
        <v>4.59</v>
      </c>
      <c r="H62" s="18">
        <v>4.59</v>
      </c>
      <c r="I62" s="18">
        <f>SUM($G$62:$H$62)</f>
        <v>9.18</v>
      </c>
      <c r="J62" s="22">
        <f t="array" ref="J62">INDEX(М[Цена за ед., руб],MATCH(1,IF(($B62=М[Наим.])*($C62=М[Артикул, марка, произв.])*($D62=М[Хар-ка])*($L62=М[Прим.]),{1},($B62=М[Наим.])*($C62=М[Артикул, марка, произв.])*($D62=М[Хар-ка])*($L62=М[Прим.])),0))</f>
        <v>0</v>
      </c>
      <c r="K62" s="22">
        <f>ROUND($I$62*$J$62,2)</f>
        <v>0</v>
      </c>
      <c r="L62" s="15" t="s">
        <v>64</v>
      </c>
      <c r="M62" s="15" t="str">
        <f t="array" ref="M62">INDEX(М[Форма закупа],MATCH(1,IF(($B62=М[Наим.])*($C62=М[Артикул, марка, произв.])*($D62=М[Хар-ка])*($L62=М[Прим.]),{1},($B62=М[Наим.])*($C62=М[Артикул, марка, произв.])*($D62=М[Хар-ка])*($L62=М[Прим.])),0))</f>
        <v>Закупка подрядчик</v>
      </c>
    </row>
    <row r="63" spans="1:13" ht="23.1" customHeight="1" outlineLevel="4" x14ac:dyDescent="0.2">
      <c r="A63" s="16" t="s">
        <v>75</v>
      </c>
      <c r="B63" s="57" t="s">
        <v>62</v>
      </c>
      <c r="C63" s="15"/>
      <c r="D63" s="15" t="s">
        <v>73</v>
      </c>
      <c r="E63" s="16" t="s">
        <v>24</v>
      </c>
      <c r="F63" s="64">
        <v>1.0149999999999999</v>
      </c>
      <c r="G63" s="21">
        <v>26.9</v>
      </c>
      <c r="H63" s="21">
        <v>0.4</v>
      </c>
      <c r="I63" s="21">
        <f>SUM($G$63:$H$63)</f>
        <v>27.299999999999997</v>
      </c>
      <c r="J63" s="22">
        <f t="array" ref="J63">INDEX(М[Цена за ед., руб],MATCH(1,IF(($B63=М[Наим.])*($C63=М[Артикул, марка, произв.])*($D63=М[Хар-ка])*($L63=М[Прим.]),{1},($B63=М[Наим.])*($C63=М[Артикул, марка, произв.])*($D63=М[Хар-ка])*($L63=М[Прим.])),0))</f>
        <v>0</v>
      </c>
      <c r="K63" s="22">
        <f>ROUND($I$63*$J$63,2)</f>
        <v>0</v>
      </c>
      <c r="L63" s="15" t="s">
        <v>78</v>
      </c>
      <c r="M63" s="15" t="str">
        <f t="array" ref="M63">INDEX(М[Форма закупа],MATCH(1,IF(($B63=М[Наим.])*($C63=М[Артикул, марка, произв.])*($D63=М[Хар-ка])*($L63=М[Прим.]),{1},($B63=М[Наим.])*($C63=М[Артикул, марка, произв.])*($D63=М[Хар-ка])*($L63=М[Прим.])),0))</f>
        <v>Закупка подрядчик</v>
      </c>
    </row>
    <row r="64" spans="1:13" ht="23.1" customHeight="1" outlineLevel="4" x14ac:dyDescent="0.2">
      <c r="A64" s="16" t="s">
        <v>79</v>
      </c>
      <c r="B64" s="57" t="s">
        <v>66</v>
      </c>
      <c r="C64" s="15"/>
      <c r="D64" s="15" t="s">
        <v>67</v>
      </c>
      <c r="E64" s="16" t="s">
        <v>24</v>
      </c>
      <c r="F64" s="64">
        <v>1.0149999999999999</v>
      </c>
      <c r="G64" s="18">
        <v>18.329999999999998</v>
      </c>
      <c r="H64" s="18">
        <v>18.329999999999998</v>
      </c>
      <c r="I64" s="18">
        <f>SUM($G$64:$H$64)</f>
        <v>36.659999999999997</v>
      </c>
      <c r="J64" s="22">
        <f t="array" ref="J64">INDEX(М[Цена за ед., руб],MATCH(1,IF(($B64=М[Наим.])*($C64=М[Артикул, марка, произв.])*($D64=М[Хар-ка])*($L64=М[Прим.]),{1},($B64=М[Наим.])*($C64=М[Артикул, марка, произв.])*($D64=М[Хар-ка])*($L64=М[Прим.])),0))</f>
        <v>0</v>
      </c>
      <c r="K64" s="22">
        <f>ROUND($I$64*$J$64,2)</f>
        <v>0</v>
      </c>
      <c r="L64" s="15"/>
      <c r="M64" s="15" t="str">
        <f t="array" ref="M64">INDEX(М[Форма закупа],MATCH(1,IF(($B64=М[Наим.])*($C64=М[Артикул, марка, произв.])*($D64=М[Хар-ка])*($L64=М[Прим.]),{1},($B64=М[Наим.])*($C64=М[Артикул, марка, произв.])*($D64=М[Хар-ка])*($L64=М[Прим.])),0))</f>
        <v>Закупка подрядчик</v>
      </c>
    </row>
    <row r="65" spans="1:13" ht="11.1" customHeight="1" outlineLevel="4" x14ac:dyDescent="0.2">
      <c r="A65" s="56"/>
      <c r="B65" s="55" t="s">
        <v>22</v>
      </c>
      <c r="C65" s="14"/>
      <c r="D65" s="14"/>
      <c r="E65" s="14"/>
      <c r="F65" s="14"/>
      <c r="G65" s="14"/>
      <c r="H65" s="14"/>
      <c r="I65" s="14"/>
      <c r="J65" s="48"/>
      <c r="K65" s="49">
        <f>SUM($K$66)</f>
        <v>0</v>
      </c>
      <c r="L65" s="12"/>
      <c r="M65" s="12"/>
    </row>
    <row r="66" spans="1:13" ht="23.1" customHeight="1" outlineLevel="4" x14ac:dyDescent="0.2">
      <c r="A66" s="16"/>
      <c r="B66" s="57" t="s">
        <v>80</v>
      </c>
      <c r="C66" s="15"/>
      <c r="D66" s="15"/>
      <c r="E66" s="16" t="s">
        <v>24</v>
      </c>
      <c r="F66" s="17"/>
      <c r="G66" s="18">
        <v>112.59</v>
      </c>
      <c r="H66" s="17"/>
      <c r="I66" s="18">
        <f>SUM($G$66:$H$66)</f>
        <v>112.59</v>
      </c>
      <c r="J66" s="22">
        <f t="array" ref="J66">INDEX(Р[Столбец1],MATCH(1,IF(($B66=Р[Наименование])*($L66=Р[Примечание]),{1},($B66=Р[Наименование])*($L66=Р[Примечание])),0))</f>
        <v>0</v>
      </c>
      <c r="K66" s="22">
        <f>ROUND($I$66*$J$66,2)</f>
        <v>0</v>
      </c>
      <c r="L66" s="15" t="s">
        <v>81</v>
      </c>
      <c r="M66" s="15"/>
    </row>
    <row r="67" spans="1:13" ht="11.1" customHeight="1" outlineLevel="4" x14ac:dyDescent="0.2">
      <c r="A67" s="56"/>
      <c r="B67" s="55" t="s">
        <v>26</v>
      </c>
      <c r="C67" s="14"/>
      <c r="D67" s="14"/>
      <c r="E67" s="14"/>
      <c r="F67" s="14"/>
      <c r="G67" s="14"/>
      <c r="H67" s="14"/>
      <c r="I67" s="14"/>
      <c r="J67" s="48"/>
      <c r="K67" s="49">
        <f>SUM($K$68:$K$72)</f>
        <v>0</v>
      </c>
      <c r="L67" s="12"/>
      <c r="M67" s="12"/>
    </row>
    <row r="68" spans="1:13" ht="47.1" customHeight="1" outlineLevel="4" x14ac:dyDescent="0.2">
      <c r="A68" s="16" t="s">
        <v>27</v>
      </c>
      <c r="B68" s="57" t="s">
        <v>35</v>
      </c>
      <c r="C68" s="15"/>
      <c r="D68" s="15" t="s">
        <v>70</v>
      </c>
      <c r="E68" s="16" t="s">
        <v>37</v>
      </c>
      <c r="F68" s="64">
        <v>0.14000000000000001</v>
      </c>
      <c r="G68" s="21">
        <v>0.9</v>
      </c>
      <c r="H68" s="17"/>
      <c r="I68" s="21">
        <f>SUM($G$68:$H$68)</f>
        <v>0.9</v>
      </c>
      <c r="J68" s="22">
        <f t="array" ref="J68">INDEX(М[Цена за ед., руб],MATCH(1,IF(($B68=М[Наим.])*($C68=М[Артикул, марка, произв.])*($D68=М[Хар-ка])*($L68=М[Прим.]),{1},($B68=М[Наим.])*($C68=М[Артикул, марка, произв.])*($D68=М[Хар-ка])*($L68=М[Прим.])),0))</f>
        <v>0</v>
      </c>
      <c r="K68" s="22">
        <f>ROUND($I$68*$J$68,2)</f>
        <v>0</v>
      </c>
      <c r="L68" s="15"/>
      <c r="M68" s="15" t="str">
        <f t="array" ref="M68">INDEX(М[Форма закупа],MATCH(1,IF(($B68=М[Наим.])*($C68=М[Артикул, марка, произв.])*($D68=М[Хар-ка])*($L68=М[Прим.]),{1},($B68=М[Наим.])*($C68=М[Артикул, марка, произв.])*($D68=М[Хар-ка])*($L68=М[Прим.])),0))</f>
        <v>Закупка подрядчик</v>
      </c>
    </row>
    <row r="69" spans="1:13" ht="11.1" customHeight="1" outlineLevel="4" x14ac:dyDescent="0.2">
      <c r="A69" s="16" t="s">
        <v>31</v>
      </c>
      <c r="B69" s="57" t="s">
        <v>39</v>
      </c>
      <c r="C69" s="15"/>
      <c r="D69" s="15" t="s">
        <v>40</v>
      </c>
      <c r="E69" s="16" t="s">
        <v>24</v>
      </c>
      <c r="F69" s="64">
        <v>7.6999999999999999E-2</v>
      </c>
      <c r="G69" s="18">
        <v>0.49</v>
      </c>
      <c r="H69" s="17"/>
      <c r="I69" s="18">
        <f>SUM($G$69:$H$69)</f>
        <v>0.49</v>
      </c>
      <c r="J69" s="22">
        <f t="array" ref="J69">INDEX(М[Цена за ед., руб],MATCH(1,IF(($B69=М[Наим.])*($C69=М[Артикул, марка, произв.])*($D69=М[Хар-ка])*($L69=М[Прим.]),{1},($B69=М[Наим.])*($C69=М[Артикул, марка, произв.])*($D69=М[Хар-ка])*($L69=М[Прим.])),0))</f>
        <v>0</v>
      </c>
      <c r="K69" s="22">
        <f>ROUND($I$69*$J$69,2)</f>
        <v>0</v>
      </c>
      <c r="L69" s="15"/>
      <c r="M69" s="15" t="str">
        <f t="array" ref="M69">INDEX(М[Форма закупа],MATCH(1,IF(($B69=М[Наим.])*($C69=М[Артикул, марка, произв.])*($D69=М[Хар-ка])*($L69=М[Прим.]),{1},($B69=М[Наим.])*($C69=М[Артикул, марка, произв.])*($D69=М[Хар-ка])*($L69=М[Прим.])),0))</f>
        <v>Закупка подрядчик</v>
      </c>
    </row>
    <row r="70" spans="1:13" ht="11.1" customHeight="1" outlineLevel="4" x14ac:dyDescent="0.2">
      <c r="A70" s="16" t="s">
        <v>34</v>
      </c>
      <c r="B70" s="57" t="s">
        <v>46</v>
      </c>
      <c r="C70" s="15"/>
      <c r="D70" s="15" t="s">
        <v>47</v>
      </c>
      <c r="E70" s="16" t="s">
        <v>24</v>
      </c>
      <c r="F70" s="64">
        <v>1.4999999999999999E-2</v>
      </c>
      <c r="G70" s="18">
        <v>1.69</v>
      </c>
      <c r="H70" s="17"/>
      <c r="I70" s="18">
        <f>SUM($G$70:$H$70)</f>
        <v>1.69</v>
      </c>
      <c r="J70" s="22">
        <f t="array" ref="J70">INDEX(М[Цена за ед., руб],MATCH(1,IF(($B70=М[Наим.])*($C70=М[Артикул, марка, произв.])*($D70=М[Хар-ка])*($L70=М[Прим.]),{1},($B70=М[Наим.])*($C70=М[Артикул, марка, произв.])*($D70=М[Хар-ка])*($L70=М[Прим.])),0))</f>
        <v>0</v>
      </c>
      <c r="K70" s="22">
        <f>ROUND($I$70*$J$70,2)</f>
        <v>0</v>
      </c>
      <c r="L70" s="15"/>
      <c r="M70" s="15" t="str">
        <f t="array" ref="M70">INDEX(М[Форма закупа],MATCH(1,IF(($B70=М[Наим.])*($C70=М[Артикул, марка, произв.])*($D70=М[Хар-ка])*($L70=М[Прим.]),{1},($B70=М[Наим.])*($C70=М[Артикул, марка, произв.])*($D70=М[Хар-ка])*($L70=М[Прим.])),0))</f>
        <v>Закупка подрядчик</v>
      </c>
    </row>
    <row r="71" spans="1:13" ht="11.1" customHeight="1" outlineLevel="4" x14ac:dyDescent="0.2">
      <c r="A71" s="16" t="s">
        <v>38</v>
      </c>
      <c r="B71" s="57" t="s">
        <v>57</v>
      </c>
      <c r="C71" s="15"/>
      <c r="D71" s="15" t="s">
        <v>82</v>
      </c>
      <c r="E71" s="16" t="s">
        <v>24</v>
      </c>
      <c r="F71" s="64">
        <v>1.0149999999999999</v>
      </c>
      <c r="G71" s="18">
        <v>74.209999999999994</v>
      </c>
      <c r="H71" s="17"/>
      <c r="I71" s="18">
        <f>SUM($G$71:$H$71)</f>
        <v>74.209999999999994</v>
      </c>
      <c r="J71" s="22">
        <f t="array" ref="J71">INDEX(М[Цена за ед., руб],MATCH(1,IF(($B71=М[Наим.])*($C71=М[Артикул, марка, произв.])*($D71=М[Хар-ка])*($L71=М[Прим.]),{1},($B71=М[Наим.])*($C71=М[Артикул, марка, произв.])*($D71=М[Хар-ка])*($L71=М[Прим.])),0))</f>
        <v>0</v>
      </c>
      <c r="K71" s="22">
        <f>ROUND($I$71*$J$71,2)</f>
        <v>0</v>
      </c>
      <c r="L71" s="15"/>
      <c r="M71" s="15" t="str">
        <f t="array" ref="M71">INDEX(М[Форма закупа],MATCH(1,IF(($B71=М[Наим.])*($C71=М[Артикул, марка, произв.])*($D71=М[Хар-ка])*($L71=М[Прим.]),{1},($B71=М[Наим.])*($C71=М[Артикул, марка, произв.])*($D71=М[Хар-ка])*($L71=М[Прим.])),0))</f>
        <v>Закупка подрядчик</v>
      </c>
    </row>
    <row r="72" spans="1:13" ht="11.1" customHeight="1" outlineLevel="4" x14ac:dyDescent="0.2">
      <c r="A72" s="16" t="s">
        <v>41</v>
      </c>
      <c r="B72" s="57" t="s">
        <v>57</v>
      </c>
      <c r="C72" s="15"/>
      <c r="D72" s="15" t="s">
        <v>83</v>
      </c>
      <c r="E72" s="16" t="s">
        <v>24</v>
      </c>
      <c r="F72" s="64">
        <v>1.0149999999999999</v>
      </c>
      <c r="G72" s="18">
        <v>40.07</v>
      </c>
      <c r="H72" s="17"/>
      <c r="I72" s="18">
        <f>SUM($G$72:$H$72)</f>
        <v>40.07</v>
      </c>
      <c r="J72" s="22">
        <f t="array" ref="J72">INDEX(М[Цена за ед., руб],MATCH(1,IF(($B72=М[Наим.])*($C72=М[Артикул, марка, произв.])*($D72=М[Хар-ка])*($L72=М[Прим.]),{1},($B72=М[Наим.])*($C72=М[Артикул, марка, произв.])*($D72=М[Хар-ка])*($L72=М[Прим.])),0))</f>
        <v>0</v>
      </c>
      <c r="K72" s="22">
        <f>ROUND($I$72*$J$72,2)</f>
        <v>0</v>
      </c>
      <c r="L72" s="15"/>
      <c r="M72" s="15" t="str">
        <f t="array" ref="M72">INDEX(М[Форма закупа],MATCH(1,IF(($B72=М[Наим.])*($C72=М[Артикул, марка, произв.])*($D72=М[Хар-ка])*($L72=М[Прим.]),{1},($B72=М[Наим.])*($C72=М[Артикул, марка, произв.])*($D72=М[Хар-ка])*($L72=М[Прим.])),0))</f>
        <v>Закупка подрядчик</v>
      </c>
    </row>
    <row r="73" spans="1:13" ht="11.1" customHeight="1" outlineLevel="4" x14ac:dyDescent="0.2">
      <c r="A73" s="56"/>
      <c r="B73" s="55" t="s">
        <v>22</v>
      </c>
      <c r="C73" s="14"/>
      <c r="D73" s="14"/>
      <c r="E73" s="14"/>
      <c r="F73" s="14"/>
      <c r="G73" s="14"/>
      <c r="H73" s="14"/>
      <c r="I73" s="14"/>
      <c r="J73" s="48"/>
      <c r="K73" s="49">
        <f>SUM($K$74)</f>
        <v>0</v>
      </c>
      <c r="L73" s="12"/>
      <c r="M73" s="12"/>
    </row>
    <row r="74" spans="1:13" ht="23.1" customHeight="1" outlineLevel="4" x14ac:dyDescent="0.2">
      <c r="A74" s="16"/>
      <c r="B74" s="57" t="s">
        <v>84</v>
      </c>
      <c r="C74" s="15"/>
      <c r="D74" s="15"/>
      <c r="E74" s="16" t="s">
        <v>24</v>
      </c>
      <c r="F74" s="17"/>
      <c r="G74" s="17"/>
      <c r="H74" s="18">
        <v>146.58000000000001</v>
      </c>
      <c r="I74" s="18">
        <f>SUM($G$74:$H$74)</f>
        <v>146.58000000000001</v>
      </c>
      <c r="J74" s="22">
        <f t="array" ref="J74">INDEX(Р[Столбец1],MATCH(1,IF(($B74=Р[Наименование])*($L74=Р[Примечание]),{1},($B74=Р[Наименование])*($L74=Р[Примечание])),0))</f>
        <v>0</v>
      </c>
      <c r="K74" s="22">
        <f>ROUND($I$74*$J$74,2)</f>
        <v>0</v>
      </c>
      <c r="L74" s="15" t="s">
        <v>85</v>
      </c>
      <c r="M74" s="15"/>
    </row>
    <row r="75" spans="1:13" ht="11.1" customHeight="1" outlineLevel="4" x14ac:dyDescent="0.2">
      <c r="A75" s="56"/>
      <c r="B75" s="55" t="s">
        <v>26</v>
      </c>
      <c r="C75" s="14"/>
      <c r="D75" s="14"/>
      <c r="E75" s="14"/>
      <c r="F75" s="14"/>
      <c r="G75" s="14"/>
      <c r="H75" s="14"/>
      <c r="I75" s="14"/>
      <c r="J75" s="48"/>
      <c r="K75" s="49">
        <f>SUM($K$76:$K$80)</f>
        <v>0</v>
      </c>
      <c r="L75" s="12"/>
      <c r="M75" s="12"/>
    </row>
    <row r="76" spans="1:13" ht="47.1" customHeight="1" outlineLevel="4" x14ac:dyDescent="0.2">
      <c r="A76" s="16" t="s">
        <v>27</v>
      </c>
      <c r="B76" s="57" t="s">
        <v>35</v>
      </c>
      <c r="C76" s="15"/>
      <c r="D76" s="15" t="s">
        <v>70</v>
      </c>
      <c r="E76" s="16" t="s">
        <v>37</v>
      </c>
      <c r="F76" s="64">
        <v>0.14000000000000001</v>
      </c>
      <c r="G76" s="17"/>
      <c r="H76" s="18">
        <v>1.18</v>
      </c>
      <c r="I76" s="18">
        <f>SUM($G$76:$H$76)</f>
        <v>1.18</v>
      </c>
      <c r="J76" s="22">
        <f t="array" ref="J76">INDEX(М[Цена за ед., руб],MATCH(1,IF(($B76=М[Наим.])*($C76=М[Артикул, марка, произв.])*($D76=М[Хар-ка])*($L76=М[Прим.]),{1},($B76=М[Наим.])*($C76=М[Артикул, марка, произв.])*($D76=М[Хар-ка])*($L76=М[Прим.])),0))</f>
        <v>0</v>
      </c>
      <c r="K76" s="22">
        <f>ROUND($I$76*$J$76,2)</f>
        <v>0</v>
      </c>
      <c r="L76" s="15"/>
      <c r="M76" s="15" t="str">
        <f t="array" ref="M76">INDEX(М[Форма закупа],MATCH(1,IF(($B76=М[Наим.])*($C76=М[Артикул, марка, произв.])*($D76=М[Хар-ка])*($L76=М[Прим.]),{1},($B76=М[Наим.])*($C76=М[Артикул, марка, произв.])*($D76=М[Хар-ка])*($L76=М[Прим.])),0))</f>
        <v>Закупка подрядчик</v>
      </c>
    </row>
    <row r="77" spans="1:13" ht="11.1" customHeight="1" outlineLevel="4" x14ac:dyDescent="0.2">
      <c r="A77" s="16" t="s">
        <v>31</v>
      </c>
      <c r="B77" s="57" t="s">
        <v>39</v>
      </c>
      <c r="C77" s="15"/>
      <c r="D77" s="15" t="s">
        <v>40</v>
      </c>
      <c r="E77" s="16" t="s">
        <v>24</v>
      </c>
      <c r="F77" s="64">
        <v>7.6999999999999999E-2</v>
      </c>
      <c r="G77" s="17"/>
      <c r="H77" s="18">
        <v>0.65</v>
      </c>
      <c r="I77" s="18">
        <f>SUM($G$77:$H$77)</f>
        <v>0.65</v>
      </c>
      <c r="J77" s="22">
        <f t="array" ref="J77">INDEX(М[Цена за ед., руб],MATCH(1,IF(($B77=М[Наим.])*($C77=М[Артикул, марка, произв.])*($D77=М[Хар-ка])*($L77=М[Прим.]),{1},($B77=М[Наим.])*($C77=М[Артикул, марка, произв.])*($D77=М[Хар-ка])*($L77=М[Прим.])),0))</f>
        <v>0</v>
      </c>
      <c r="K77" s="22">
        <f>ROUND($I$77*$J$77,2)</f>
        <v>0</v>
      </c>
      <c r="L77" s="15"/>
      <c r="M77" s="15" t="str">
        <f t="array" ref="M77">INDEX(М[Форма закупа],MATCH(1,IF(($B77=М[Наим.])*($C77=М[Артикул, марка, произв.])*($D77=М[Хар-ка])*($L77=М[Прим.]),{1},($B77=М[Наим.])*($C77=М[Артикул, марка, произв.])*($D77=М[Хар-ка])*($L77=М[Прим.])),0))</f>
        <v>Закупка подрядчик</v>
      </c>
    </row>
    <row r="78" spans="1:13" ht="11.1" customHeight="1" outlineLevel="4" x14ac:dyDescent="0.2">
      <c r="A78" s="16" t="s">
        <v>34</v>
      </c>
      <c r="B78" s="57" t="s">
        <v>46</v>
      </c>
      <c r="C78" s="15"/>
      <c r="D78" s="15" t="s">
        <v>47</v>
      </c>
      <c r="E78" s="16" t="s">
        <v>24</v>
      </c>
      <c r="F78" s="64">
        <v>1.4999999999999999E-2</v>
      </c>
      <c r="G78" s="17"/>
      <c r="H78" s="21">
        <v>2.2000000000000002</v>
      </c>
      <c r="I78" s="21">
        <f>SUM($G$78:$H$78)</f>
        <v>2.2000000000000002</v>
      </c>
      <c r="J78" s="22">
        <f t="array" ref="J78">INDEX(М[Цена за ед., руб],MATCH(1,IF(($B78=М[Наим.])*($C78=М[Артикул, марка, произв.])*($D78=М[Хар-ка])*($L78=М[Прим.]),{1},($B78=М[Наим.])*($C78=М[Артикул, марка, произв.])*($D78=М[Хар-ка])*($L78=М[Прим.])),0))</f>
        <v>0</v>
      </c>
      <c r="K78" s="22">
        <f>ROUND($I$78*$J$78,2)</f>
        <v>0</v>
      </c>
      <c r="L78" s="15"/>
      <c r="M78" s="15" t="str">
        <f t="array" ref="M78">INDEX(М[Форма закупа],MATCH(1,IF(($B78=М[Наим.])*($C78=М[Артикул, марка, произв.])*($D78=М[Хар-ка])*($L78=М[Прим.]),{1},($B78=М[Наим.])*($C78=М[Артикул, марка, произв.])*($D78=М[Хар-ка])*($L78=М[Прим.])),0))</f>
        <v>Закупка подрядчик</v>
      </c>
    </row>
    <row r="79" spans="1:13" ht="11.1" customHeight="1" outlineLevel="4" x14ac:dyDescent="0.2">
      <c r="A79" s="16" t="s">
        <v>38</v>
      </c>
      <c r="B79" s="57" t="s">
        <v>57</v>
      </c>
      <c r="C79" s="15"/>
      <c r="D79" s="15" t="s">
        <v>82</v>
      </c>
      <c r="E79" s="16" t="s">
        <v>24</v>
      </c>
      <c r="F79" s="64">
        <v>1.0149999999999999</v>
      </c>
      <c r="G79" s="17"/>
      <c r="H79" s="18">
        <v>95.36</v>
      </c>
      <c r="I79" s="18">
        <f>SUM($G$79:$H$79)</f>
        <v>95.36</v>
      </c>
      <c r="J79" s="22">
        <f t="array" ref="J79">INDEX(М[Цена за ед., руб],MATCH(1,IF(($B79=М[Наим.])*($C79=М[Артикул, марка, произв.])*($D79=М[Хар-ка])*($L79=М[Прим.]),{1},($B79=М[Наим.])*($C79=М[Артикул, марка, произв.])*($D79=М[Хар-ка])*($L79=М[Прим.])),0))</f>
        <v>0</v>
      </c>
      <c r="K79" s="22">
        <f>ROUND($I$79*$J$79,2)</f>
        <v>0</v>
      </c>
      <c r="L79" s="15"/>
      <c r="M79" s="15" t="str">
        <f t="array" ref="M79">INDEX(М[Форма закупа],MATCH(1,IF(($B79=М[Наим.])*($C79=М[Артикул, марка, произв.])*($D79=М[Хар-ка])*($L79=М[Прим.]),{1},($B79=М[Наим.])*($C79=М[Артикул, марка, произв.])*($D79=М[Хар-ка])*($L79=М[Прим.])),0))</f>
        <v>Закупка подрядчик</v>
      </c>
    </row>
    <row r="80" spans="1:13" ht="11.1" customHeight="1" outlineLevel="4" x14ac:dyDescent="0.2">
      <c r="A80" s="16" t="s">
        <v>41</v>
      </c>
      <c r="B80" s="57" t="s">
        <v>57</v>
      </c>
      <c r="C80" s="15"/>
      <c r="D80" s="15" t="s">
        <v>83</v>
      </c>
      <c r="E80" s="16" t="s">
        <v>24</v>
      </c>
      <c r="F80" s="64">
        <v>1.0149999999999999</v>
      </c>
      <c r="G80" s="17"/>
      <c r="H80" s="18">
        <v>53.42</v>
      </c>
      <c r="I80" s="18">
        <f>SUM($G$80:$H$80)</f>
        <v>53.42</v>
      </c>
      <c r="J80" s="22">
        <f t="array" ref="J80">INDEX(М[Цена за ед., руб],MATCH(1,IF(($B80=М[Наим.])*($C80=М[Артикул, марка, произв.])*($D80=М[Хар-ка])*($L80=М[Прим.]),{1},($B80=М[Наим.])*($C80=М[Артикул, марка, произв.])*($D80=М[Хар-ка])*($L80=М[Прим.])),0))</f>
        <v>0</v>
      </c>
      <c r="K80" s="22">
        <f>ROUND($I$80*$J$80,2)</f>
        <v>0</v>
      </c>
      <c r="L80" s="15"/>
      <c r="M80" s="15" t="str">
        <f t="array" ref="M80">INDEX(М[Форма закупа],MATCH(1,IF(($B80=М[Наим.])*($C80=М[Артикул, марка, произв.])*($D80=М[Хар-ка])*($L80=М[Прим.]),{1},($B80=М[Наим.])*($C80=М[Артикул, марка, произв.])*($D80=М[Хар-ка])*($L80=М[Прим.])),0))</f>
        <v>Закупка подрядчик</v>
      </c>
    </row>
    <row r="81" spans="1:13" ht="11.1" customHeight="1" outlineLevel="4" x14ac:dyDescent="0.2">
      <c r="A81" s="56"/>
      <c r="B81" s="55" t="s">
        <v>22</v>
      </c>
      <c r="C81" s="14"/>
      <c r="D81" s="14"/>
      <c r="E81" s="14"/>
      <c r="F81" s="14"/>
      <c r="G81" s="14"/>
      <c r="H81" s="14"/>
      <c r="I81" s="14"/>
      <c r="J81" s="48"/>
      <c r="K81" s="49">
        <f>SUM($K$82)</f>
        <v>0</v>
      </c>
      <c r="L81" s="12"/>
      <c r="M81" s="12"/>
    </row>
    <row r="82" spans="1:13" ht="23.1" customHeight="1" outlineLevel="4" x14ac:dyDescent="0.2">
      <c r="A82" s="16"/>
      <c r="B82" s="57" t="s">
        <v>86</v>
      </c>
      <c r="C82" s="15"/>
      <c r="D82" s="15"/>
      <c r="E82" s="16" t="s">
        <v>24</v>
      </c>
      <c r="F82" s="17"/>
      <c r="G82" s="17"/>
      <c r="H82" s="18">
        <v>336.41</v>
      </c>
      <c r="I82" s="18">
        <f>SUM($G$82:$H$82)</f>
        <v>336.41</v>
      </c>
      <c r="J82" s="22">
        <f t="array" ref="J82">INDEX(Р[Столбец1],MATCH(1,IF(($B82=Р[Наименование])*($L82=Р[Примечание]),{1},($B82=Р[Наименование])*($L82=Р[Примечание])),0))</f>
        <v>0</v>
      </c>
      <c r="K82" s="22">
        <f>ROUND($I$82*$J$82,2)</f>
        <v>0</v>
      </c>
      <c r="L82" s="15" t="s">
        <v>87</v>
      </c>
      <c r="M82" s="15"/>
    </row>
    <row r="83" spans="1:13" ht="11.1" customHeight="1" outlineLevel="4" x14ac:dyDescent="0.2">
      <c r="A83" s="56"/>
      <c r="B83" s="55" t="s">
        <v>26</v>
      </c>
      <c r="C83" s="14"/>
      <c r="D83" s="14"/>
      <c r="E83" s="14"/>
      <c r="F83" s="14"/>
      <c r="G83" s="14"/>
      <c r="H83" s="14"/>
      <c r="I83" s="14"/>
      <c r="J83" s="48"/>
      <c r="K83" s="49">
        <f>SUM($K$84:$K$88)</f>
        <v>0</v>
      </c>
      <c r="L83" s="12"/>
      <c r="M83" s="12"/>
    </row>
    <row r="84" spans="1:13" ht="47.1" customHeight="1" outlineLevel="4" x14ac:dyDescent="0.2">
      <c r="A84" s="16" t="s">
        <v>27</v>
      </c>
      <c r="B84" s="57" t="s">
        <v>35</v>
      </c>
      <c r="C84" s="15"/>
      <c r="D84" s="15" t="s">
        <v>70</v>
      </c>
      <c r="E84" s="16" t="s">
        <v>37</v>
      </c>
      <c r="F84" s="64">
        <v>0.14000000000000001</v>
      </c>
      <c r="G84" s="17"/>
      <c r="H84" s="18">
        <v>2.74</v>
      </c>
      <c r="I84" s="18">
        <f>SUM($G$84:$H$84)</f>
        <v>2.74</v>
      </c>
      <c r="J84" s="22">
        <f t="array" ref="J84">INDEX(М[Цена за ед., руб],MATCH(1,IF(($B84=М[Наим.])*($C84=М[Артикул, марка, произв.])*($D84=М[Хар-ка])*($L84=М[Прим.]),{1},($B84=М[Наим.])*($C84=М[Артикул, марка, произв.])*($D84=М[Хар-ка])*($L84=М[Прим.])),0))</f>
        <v>0</v>
      </c>
      <c r="K84" s="22">
        <f>ROUND($I$84*$J$84,2)</f>
        <v>0</v>
      </c>
      <c r="L84" s="15"/>
      <c r="M84" s="15" t="str">
        <f t="array" ref="M84">INDEX(М[Форма закупа],MATCH(1,IF(($B84=М[Наим.])*($C84=М[Артикул, марка, произв.])*($D84=М[Хар-ка])*($L84=М[Прим.]),{1},($B84=М[Наим.])*($C84=М[Артикул, марка, произв.])*($D84=М[Хар-ка])*($L84=М[Прим.])),0))</f>
        <v>Закупка подрядчик</v>
      </c>
    </row>
    <row r="85" spans="1:13" ht="11.1" customHeight="1" outlineLevel="4" x14ac:dyDescent="0.2">
      <c r="A85" s="16" t="s">
        <v>31</v>
      </c>
      <c r="B85" s="57" t="s">
        <v>39</v>
      </c>
      <c r="C85" s="15"/>
      <c r="D85" s="15" t="s">
        <v>40</v>
      </c>
      <c r="E85" s="16" t="s">
        <v>24</v>
      </c>
      <c r="F85" s="64">
        <v>7.6999999999999999E-2</v>
      </c>
      <c r="G85" s="17"/>
      <c r="H85" s="18">
        <v>1.51</v>
      </c>
      <c r="I85" s="18">
        <f>SUM($G$85:$H$85)</f>
        <v>1.51</v>
      </c>
      <c r="J85" s="22">
        <f t="array" ref="J85">INDEX(М[Цена за ед., руб],MATCH(1,IF(($B85=М[Наим.])*($C85=М[Артикул, марка, произв.])*($D85=М[Хар-ка])*($L85=М[Прим.]),{1},($B85=М[Наим.])*($C85=М[Артикул, марка, произв.])*($D85=М[Хар-ка])*($L85=М[Прим.])),0))</f>
        <v>0</v>
      </c>
      <c r="K85" s="22">
        <f>ROUND($I$85*$J$85,2)</f>
        <v>0</v>
      </c>
      <c r="L85" s="15"/>
      <c r="M85" s="15" t="str">
        <f t="array" ref="M85">INDEX(М[Форма закупа],MATCH(1,IF(($B85=М[Наим.])*($C85=М[Артикул, марка, произв.])*($D85=М[Хар-ка])*($L85=М[Прим.]),{1},($B85=М[Наим.])*($C85=М[Артикул, марка, произв.])*($D85=М[Хар-ка])*($L85=М[Прим.])),0))</f>
        <v>Закупка подрядчик</v>
      </c>
    </row>
    <row r="86" spans="1:13" ht="11.1" customHeight="1" outlineLevel="4" x14ac:dyDescent="0.2">
      <c r="A86" s="16" t="s">
        <v>34</v>
      </c>
      <c r="B86" s="57" t="s">
        <v>46</v>
      </c>
      <c r="C86" s="15"/>
      <c r="D86" s="15" t="s">
        <v>47</v>
      </c>
      <c r="E86" s="16" t="s">
        <v>24</v>
      </c>
      <c r="F86" s="64">
        <v>1.4999999999999999E-2</v>
      </c>
      <c r="G86" s="17"/>
      <c r="H86" s="18">
        <v>5.05</v>
      </c>
      <c r="I86" s="18">
        <f>SUM($G$86:$H$86)</f>
        <v>5.05</v>
      </c>
      <c r="J86" s="22">
        <f t="array" ref="J86">INDEX(М[Цена за ед., руб],MATCH(1,IF(($B86=М[Наим.])*($C86=М[Артикул, марка, произв.])*($D86=М[Хар-ка])*($L86=М[Прим.]),{1},($B86=М[Наим.])*($C86=М[Артикул, марка, произв.])*($D86=М[Хар-ка])*($L86=М[Прим.])),0))</f>
        <v>0</v>
      </c>
      <c r="K86" s="22">
        <f>ROUND($I$86*$J$86,2)</f>
        <v>0</v>
      </c>
      <c r="L86" s="15"/>
      <c r="M86" s="15" t="str">
        <f t="array" ref="M86">INDEX(М[Форма закупа],MATCH(1,IF(($B86=М[Наим.])*($C86=М[Артикул, марка, произв.])*($D86=М[Хар-ка])*($L86=М[Прим.]),{1},($B86=М[Наим.])*($C86=М[Артикул, марка, произв.])*($D86=М[Хар-ка])*($L86=М[Прим.])),0))</f>
        <v>Закупка подрядчик</v>
      </c>
    </row>
    <row r="87" spans="1:13" ht="11.1" customHeight="1" outlineLevel="4" x14ac:dyDescent="0.2">
      <c r="A87" s="16" t="s">
        <v>38</v>
      </c>
      <c r="B87" s="57" t="s">
        <v>57</v>
      </c>
      <c r="C87" s="15"/>
      <c r="D87" s="15" t="s">
        <v>82</v>
      </c>
      <c r="E87" s="16" t="s">
        <v>24</v>
      </c>
      <c r="F87" s="64">
        <v>1.0149999999999999</v>
      </c>
      <c r="G87" s="17"/>
      <c r="H87" s="21">
        <v>207.9</v>
      </c>
      <c r="I87" s="21">
        <f>SUM($G$87:$H$87)</f>
        <v>207.9</v>
      </c>
      <c r="J87" s="22">
        <f t="array" ref="J87">INDEX(М[Цена за ед., руб],MATCH(1,IF(($B87=М[Наим.])*($C87=М[Артикул, марка, произв.])*($D87=М[Хар-ка])*($L87=М[Прим.]),{1},($B87=М[Наим.])*($C87=М[Артикул, марка, произв.])*($D87=М[Хар-ка])*($L87=М[Прим.])),0))</f>
        <v>0</v>
      </c>
      <c r="K87" s="22">
        <f>ROUND($I$87*$J$87,2)</f>
        <v>0</v>
      </c>
      <c r="L87" s="15"/>
      <c r="M87" s="15" t="str">
        <f t="array" ref="M87">INDEX(М[Форма закупа],MATCH(1,IF(($B87=М[Наим.])*($C87=М[Артикул, марка, произв.])*($D87=М[Хар-ка])*($L87=М[Прим.]),{1},($B87=М[Наим.])*($C87=М[Артикул, марка, произв.])*($D87=М[Хар-ка])*($L87=М[Прим.])),0))</f>
        <v>Закупка подрядчик</v>
      </c>
    </row>
    <row r="88" spans="1:13" ht="11.1" customHeight="1" outlineLevel="4" x14ac:dyDescent="0.2">
      <c r="A88" s="16" t="s">
        <v>41</v>
      </c>
      <c r="B88" s="57" t="s">
        <v>57</v>
      </c>
      <c r="C88" s="15"/>
      <c r="D88" s="15" t="s">
        <v>83</v>
      </c>
      <c r="E88" s="16" t="s">
        <v>24</v>
      </c>
      <c r="F88" s="64">
        <v>1.0149999999999999</v>
      </c>
      <c r="G88" s="17"/>
      <c r="H88" s="18">
        <v>133.55000000000001</v>
      </c>
      <c r="I88" s="18">
        <f>SUM($G$88:$H$88)</f>
        <v>133.55000000000001</v>
      </c>
      <c r="J88" s="22">
        <f t="array" ref="J88">INDEX(М[Цена за ед., руб],MATCH(1,IF(($B88=М[Наим.])*($C88=М[Артикул, марка, произв.])*($D88=М[Хар-ка])*($L88=М[Прим.]),{1},($B88=М[Наим.])*($C88=М[Артикул, марка, произв.])*($D88=М[Хар-ка])*($L88=М[Прим.])),0))</f>
        <v>0</v>
      </c>
      <c r="K88" s="22">
        <f>ROUND($I$88*$J$88,2)</f>
        <v>0</v>
      </c>
      <c r="L88" s="15"/>
      <c r="M88" s="15" t="str">
        <f t="array" ref="M88">INDEX(М[Форма закупа],MATCH(1,IF(($B88=М[Наим.])*($C88=М[Артикул, марка, произв.])*($D88=М[Хар-ка])*($L88=М[Прим.]),{1},($B88=М[Наим.])*($C88=М[Артикул, марка, произв.])*($D88=М[Хар-ка])*($L88=М[Прим.])),0))</f>
        <v>Закупка подрядчик</v>
      </c>
    </row>
    <row r="89" spans="1:13" ht="11.1" customHeight="1" outlineLevel="4" x14ac:dyDescent="0.2">
      <c r="A89" s="56"/>
      <c r="B89" s="55" t="s">
        <v>22</v>
      </c>
      <c r="C89" s="14"/>
      <c r="D89" s="14"/>
      <c r="E89" s="14"/>
      <c r="F89" s="14"/>
      <c r="G89" s="14"/>
      <c r="H89" s="14"/>
      <c r="I89" s="14"/>
      <c r="J89" s="48"/>
      <c r="K89" s="49">
        <f>SUM($K$90)</f>
        <v>0</v>
      </c>
      <c r="L89" s="12"/>
      <c r="M89" s="12"/>
    </row>
    <row r="90" spans="1:13" ht="23.1" customHeight="1" outlineLevel="4" x14ac:dyDescent="0.2">
      <c r="A90" s="16"/>
      <c r="B90" s="57" t="s">
        <v>88</v>
      </c>
      <c r="C90" s="15"/>
      <c r="D90" s="15"/>
      <c r="E90" s="16" t="s">
        <v>24</v>
      </c>
      <c r="F90" s="17"/>
      <c r="G90" s="18">
        <v>181.64</v>
      </c>
      <c r="H90" s="17"/>
      <c r="I90" s="18">
        <f>SUM($G$90:$H$90)</f>
        <v>181.64</v>
      </c>
      <c r="J90" s="22">
        <f t="array" ref="J90">INDEX(Р[Столбец1],MATCH(1,IF(($B90=Р[Наименование])*($L90=Р[Примечание]),{1},($B90=Р[Наименование])*($L90=Р[Примечание])),0))</f>
        <v>0</v>
      </c>
      <c r="K90" s="22">
        <f>ROUND($I$90*$J$90,2)</f>
        <v>0</v>
      </c>
      <c r="L90" s="15" t="s">
        <v>89</v>
      </c>
      <c r="M90" s="15"/>
    </row>
    <row r="91" spans="1:13" ht="11.1" customHeight="1" outlineLevel="4" x14ac:dyDescent="0.2">
      <c r="A91" s="56"/>
      <c r="B91" s="55" t="s">
        <v>26</v>
      </c>
      <c r="C91" s="14"/>
      <c r="D91" s="14"/>
      <c r="E91" s="14"/>
      <c r="F91" s="14"/>
      <c r="G91" s="14"/>
      <c r="H91" s="14"/>
      <c r="I91" s="14"/>
      <c r="J91" s="48"/>
      <c r="K91" s="49">
        <f>SUM($K$92:$K$96)</f>
        <v>0</v>
      </c>
      <c r="L91" s="12"/>
      <c r="M91" s="12"/>
    </row>
    <row r="92" spans="1:13" ht="47.1" customHeight="1" outlineLevel="4" x14ac:dyDescent="0.2">
      <c r="A92" s="16" t="s">
        <v>27</v>
      </c>
      <c r="B92" s="57" t="s">
        <v>35</v>
      </c>
      <c r="C92" s="15"/>
      <c r="D92" s="15" t="s">
        <v>70</v>
      </c>
      <c r="E92" s="16" t="s">
        <v>37</v>
      </c>
      <c r="F92" s="64">
        <v>0.14000000000000001</v>
      </c>
      <c r="G92" s="18">
        <v>1.48</v>
      </c>
      <c r="H92" s="17"/>
      <c r="I92" s="18">
        <f>SUM($G$92:$H$92)</f>
        <v>1.48</v>
      </c>
      <c r="J92" s="22">
        <f t="array" ref="J92">INDEX(М[Цена за ед., руб],MATCH(1,IF(($B92=М[Наим.])*($C92=М[Артикул, марка, произв.])*($D92=М[Хар-ка])*($L92=М[Прим.]),{1},($B92=М[Наим.])*($C92=М[Артикул, марка, произв.])*($D92=М[Хар-ка])*($L92=М[Прим.])),0))</f>
        <v>0</v>
      </c>
      <c r="K92" s="22">
        <f>ROUND($I$92*$J$92,2)</f>
        <v>0</v>
      </c>
      <c r="L92" s="15"/>
      <c r="M92" s="15" t="str">
        <f t="array" ref="M92">INDEX(М[Форма закупа],MATCH(1,IF(($B92=М[Наим.])*($C92=М[Артикул, марка, произв.])*($D92=М[Хар-ка])*($L92=М[Прим.]),{1},($B92=М[Наим.])*($C92=М[Артикул, марка, произв.])*($D92=М[Хар-ка])*($L92=М[Прим.])),0))</f>
        <v>Закупка подрядчик</v>
      </c>
    </row>
    <row r="93" spans="1:13" ht="11.1" customHeight="1" outlineLevel="4" x14ac:dyDescent="0.2">
      <c r="A93" s="16" t="s">
        <v>31</v>
      </c>
      <c r="B93" s="57" t="s">
        <v>39</v>
      </c>
      <c r="C93" s="15"/>
      <c r="D93" s="15" t="s">
        <v>40</v>
      </c>
      <c r="E93" s="16" t="s">
        <v>24</v>
      </c>
      <c r="F93" s="64">
        <v>7.6999999999999999E-2</v>
      </c>
      <c r="G93" s="18">
        <v>0.82</v>
      </c>
      <c r="H93" s="17"/>
      <c r="I93" s="18">
        <f>SUM($G$93:$H$93)</f>
        <v>0.82</v>
      </c>
      <c r="J93" s="22">
        <f t="array" ref="J93">INDEX(М[Цена за ед., руб],MATCH(1,IF(($B93=М[Наим.])*($C93=М[Артикул, марка, произв.])*($D93=М[Хар-ка])*($L93=М[Прим.]),{1},($B93=М[Наим.])*($C93=М[Артикул, марка, произв.])*($D93=М[Хар-ка])*($L93=М[Прим.])),0))</f>
        <v>0</v>
      </c>
      <c r="K93" s="22">
        <f>ROUND($I$93*$J$93,2)</f>
        <v>0</v>
      </c>
      <c r="L93" s="15"/>
      <c r="M93" s="15" t="str">
        <f t="array" ref="M93">INDEX(М[Форма закупа],MATCH(1,IF(($B93=М[Наим.])*($C93=М[Артикул, марка, произв.])*($D93=М[Хар-ка])*($L93=М[Прим.]),{1},($B93=М[Наим.])*($C93=М[Артикул, марка, произв.])*($D93=М[Хар-ка])*($L93=М[Прим.])),0))</f>
        <v>Закупка подрядчик</v>
      </c>
    </row>
    <row r="94" spans="1:13" ht="11.1" customHeight="1" outlineLevel="4" x14ac:dyDescent="0.2">
      <c r="A94" s="16" t="s">
        <v>34</v>
      </c>
      <c r="B94" s="57" t="s">
        <v>46</v>
      </c>
      <c r="C94" s="15"/>
      <c r="D94" s="15" t="s">
        <v>47</v>
      </c>
      <c r="E94" s="16" t="s">
        <v>24</v>
      </c>
      <c r="F94" s="64">
        <v>1.4999999999999999E-2</v>
      </c>
      <c r="G94" s="18">
        <v>2.73</v>
      </c>
      <c r="H94" s="17"/>
      <c r="I94" s="18">
        <f>SUM($G$94:$H$94)</f>
        <v>2.73</v>
      </c>
      <c r="J94" s="22">
        <f t="array" ref="J94">INDEX(М[Цена за ед., руб],MATCH(1,IF(($B94=М[Наим.])*($C94=М[Артикул, марка, произв.])*($D94=М[Хар-ка])*($L94=М[Прим.]),{1},($B94=М[Наим.])*($C94=М[Артикул, марка, произв.])*($D94=М[Хар-ка])*($L94=М[Прим.])),0))</f>
        <v>0</v>
      </c>
      <c r="K94" s="22">
        <f>ROUND($I$94*$J$94,2)</f>
        <v>0</v>
      </c>
      <c r="L94" s="15"/>
      <c r="M94" s="15" t="str">
        <f t="array" ref="M94">INDEX(М[Форма закупа],MATCH(1,IF(($B94=М[Наим.])*($C94=М[Артикул, марка, произв.])*($D94=М[Хар-ка])*($L94=М[Прим.]),{1},($B94=М[Наим.])*($C94=М[Артикул, марка, произв.])*($D94=М[Хар-ка])*($L94=М[Прим.])),0))</f>
        <v>Закупка подрядчик</v>
      </c>
    </row>
    <row r="95" spans="1:13" ht="11.1" customHeight="1" outlineLevel="4" x14ac:dyDescent="0.2">
      <c r="A95" s="16" t="s">
        <v>38</v>
      </c>
      <c r="B95" s="57" t="s">
        <v>57</v>
      </c>
      <c r="C95" s="15"/>
      <c r="D95" s="15" t="s">
        <v>82</v>
      </c>
      <c r="E95" s="16" t="s">
        <v>24</v>
      </c>
      <c r="F95" s="64">
        <v>1.0149999999999999</v>
      </c>
      <c r="G95" s="18">
        <v>110.91</v>
      </c>
      <c r="H95" s="17"/>
      <c r="I95" s="18">
        <f>SUM($G$95:$H$95)</f>
        <v>110.91</v>
      </c>
      <c r="J95" s="22">
        <f t="array" ref="J95">INDEX(М[Цена за ед., руб],MATCH(1,IF(($B95=М[Наим.])*($C95=М[Артикул, марка, произв.])*($D95=М[Хар-ка])*($L95=М[Прим.]),{1},($B95=М[Наим.])*($C95=М[Артикул, марка, произв.])*($D95=М[Хар-ка])*($L95=М[Прим.])),0))</f>
        <v>0</v>
      </c>
      <c r="K95" s="22">
        <f>ROUND($I$95*$J$95,2)</f>
        <v>0</v>
      </c>
      <c r="L95" s="15"/>
      <c r="M95" s="15" t="str">
        <f t="array" ref="M95">INDEX(М[Форма закупа],MATCH(1,IF(($B95=М[Наим.])*($C95=М[Артикул, марка, произв.])*($D95=М[Хар-ка])*($L95=М[Прим.]),{1},($B95=М[Наим.])*($C95=М[Артикул, марка, произв.])*($D95=М[Хар-ка])*($L95=М[Прим.])),0))</f>
        <v>Закупка подрядчик</v>
      </c>
    </row>
    <row r="96" spans="1:13" ht="11.1" customHeight="1" outlineLevel="4" x14ac:dyDescent="0.2">
      <c r="A96" s="16" t="s">
        <v>41</v>
      </c>
      <c r="B96" s="57" t="s">
        <v>57</v>
      </c>
      <c r="C96" s="15"/>
      <c r="D96" s="15" t="s">
        <v>83</v>
      </c>
      <c r="E96" s="16" t="s">
        <v>24</v>
      </c>
      <c r="F96" s="64">
        <v>1.0149999999999999</v>
      </c>
      <c r="G96" s="18">
        <v>73.459999999999994</v>
      </c>
      <c r="H96" s="17"/>
      <c r="I96" s="18">
        <f>SUM($G$96:$H$96)</f>
        <v>73.459999999999994</v>
      </c>
      <c r="J96" s="22">
        <f t="array" ref="J96">INDEX(М[Цена за ед., руб],MATCH(1,IF(($B96=М[Наим.])*($C96=М[Артикул, марка, произв.])*($D96=М[Хар-ка])*($L96=М[Прим.]),{1},($B96=М[Наим.])*($C96=М[Артикул, марка, произв.])*($D96=М[Хар-ка])*($L96=М[Прим.])),0))</f>
        <v>0</v>
      </c>
      <c r="K96" s="22">
        <f>ROUND($I$96*$J$96,2)</f>
        <v>0</v>
      </c>
      <c r="L96" s="15"/>
      <c r="M96" s="15" t="str">
        <f t="array" ref="M96">INDEX(М[Форма закупа],MATCH(1,IF(($B96=М[Наим.])*($C96=М[Артикул, марка, произв.])*($D96=М[Хар-ка])*($L96=М[Прим.]),{1},($B96=М[Наим.])*($C96=М[Артикул, марка, произв.])*($D96=М[Хар-ка])*($L96=М[Прим.])),0))</f>
        <v>Закупка подрядчик</v>
      </c>
    </row>
    <row r="97" spans="1:13" ht="11.1" customHeight="1" outlineLevel="4" x14ac:dyDescent="0.2">
      <c r="A97" s="56"/>
      <c r="B97" s="55" t="s">
        <v>22</v>
      </c>
      <c r="C97" s="14"/>
      <c r="D97" s="14"/>
      <c r="E97" s="14"/>
      <c r="F97" s="14"/>
      <c r="G97" s="14"/>
      <c r="H97" s="14"/>
      <c r="I97" s="14"/>
      <c r="J97" s="48"/>
      <c r="K97" s="49">
        <f>SUM($K$98)</f>
        <v>0</v>
      </c>
      <c r="L97" s="12"/>
      <c r="M97" s="12"/>
    </row>
    <row r="98" spans="1:13" ht="35.1" customHeight="1" outlineLevel="4" x14ac:dyDescent="0.2">
      <c r="A98" s="16"/>
      <c r="B98" s="57" t="s">
        <v>90</v>
      </c>
      <c r="C98" s="15"/>
      <c r="D98" s="15"/>
      <c r="E98" s="16" t="s">
        <v>24</v>
      </c>
      <c r="F98" s="17"/>
      <c r="G98" s="22">
        <v>5040.3900000000003</v>
      </c>
      <c r="H98" s="22">
        <v>8297.76</v>
      </c>
      <c r="I98" s="22">
        <f>SUM($G$98:$H$98)</f>
        <v>13338.150000000001</v>
      </c>
      <c r="J98" s="22">
        <f t="array" ref="J98">INDEX(Р[Столбец1],MATCH(1,IF(($B98=Р[Наименование])*($L98=Р[Примечание]),{1},($B98=Р[Наименование])*($L98=Р[Примечание])),0))</f>
        <v>0</v>
      </c>
      <c r="K98" s="22">
        <f>ROUND($I$98*$J$98,2)</f>
        <v>0</v>
      </c>
      <c r="L98" s="15" t="s">
        <v>91</v>
      </c>
      <c r="M98" s="15"/>
    </row>
    <row r="99" spans="1:13" ht="11.1" customHeight="1" outlineLevel="4" x14ac:dyDescent="0.2">
      <c r="A99" s="56"/>
      <c r="B99" s="55" t="s">
        <v>26</v>
      </c>
      <c r="C99" s="14"/>
      <c r="D99" s="14"/>
      <c r="E99" s="14"/>
      <c r="F99" s="14"/>
      <c r="G99" s="14"/>
      <c r="H99" s="14"/>
      <c r="I99" s="14"/>
      <c r="J99" s="48"/>
      <c r="K99" s="49">
        <f>SUM($K$100:$K$104)</f>
        <v>0</v>
      </c>
      <c r="L99" s="12"/>
      <c r="M99" s="12"/>
    </row>
    <row r="100" spans="1:13" ht="47.1" customHeight="1" outlineLevel="4" x14ac:dyDescent="0.2">
      <c r="A100" s="16" t="s">
        <v>27</v>
      </c>
      <c r="B100" s="57" t="s">
        <v>35</v>
      </c>
      <c r="C100" s="15"/>
      <c r="D100" s="15" t="s">
        <v>70</v>
      </c>
      <c r="E100" s="16" t="s">
        <v>37</v>
      </c>
      <c r="F100" s="64">
        <v>0.14000000000000001</v>
      </c>
      <c r="G100" s="18">
        <v>40.840000000000003</v>
      </c>
      <c r="H100" s="18">
        <v>67.31</v>
      </c>
      <c r="I100" s="18">
        <f>SUM($G$100:$H$100)</f>
        <v>108.15</v>
      </c>
      <c r="J100" s="22">
        <f t="array" ref="J100">INDEX(М[Цена за ед., руб],MATCH(1,IF(($B100=М[Наим.])*($C100=М[Артикул, марка, произв.])*($D100=М[Хар-ка])*($L100=М[Прим.]),{1},($B100=М[Наим.])*($C100=М[Артикул, марка, произв.])*($D100=М[Хар-ка])*($L100=М[Прим.])),0))</f>
        <v>0</v>
      </c>
      <c r="K100" s="22">
        <f>ROUND($I$100*$J$100,2)</f>
        <v>0</v>
      </c>
      <c r="L100" s="15"/>
      <c r="M100" s="15" t="str">
        <f t="array" ref="M100">INDEX(М[Форма закупа],MATCH(1,IF(($B100=М[Наим.])*($C100=М[Артикул, марка, произв.])*($D100=М[Хар-ка])*($L100=М[Прим.]),{1},($B100=М[Наим.])*($C100=М[Артикул, марка, произв.])*($D100=М[Хар-ка])*($L100=М[Прим.])),0))</f>
        <v>Закупка подрядчик</v>
      </c>
    </row>
    <row r="101" spans="1:13" ht="11.1" customHeight="1" outlineLevel="4" x14ac:dyDescent="0.2">
      <c r="A101" s="16" t="s">
        <v>31</v>
      </c>
      <c r="B101" s="57" t="s">
        <v>39</v>
      </c>
      <c r="C101" s="15"/>
      <c r="D101" s="15" t="s">
        <v>40</v>
      </c>
      <c r="E101" s="16" t="s">
        <v>24</v>
      </c>
      <c r="F101" s="64">
        <v>7.6999999999999999E-2</v>
      </c>
      <c r="G101" s="18">
        <v>22.46</v>
      </c>
      <c r="H101" s="18">
        <v>37.020000000000003</v>
      </c>
      <c r="I101" s="18">
        <f>SUM($G$101:$H$101)</f>
        <v>59.480000000000004</v>
      </c>
      <c r="J101" s="22">
        <f t="array" ref="J101">INDEX(М[Цена за ед., руб],MATCH(1,IF(($B101=М[Наим.])*($C101=М[Артикул, марка, произв.])*($D101=М[Хар-ка])*($L101=М[Прим.]),{1},($B101=М[Наим.])*($C101=М[Артикул, марка, произв.])*($D101=М[Хар-ка])*($L101=М[Прим.])),0))</f>
        <v>0</v>
      </c>
      <c r="K101" s="22">
        <f>ROUND($I$101*$J$101,2)</f>
        <v>0</v>
      </c>
      <c r="L101" s="15"/>
      <c r="M101" s="15" t="str">
        <f t="array" ref="M101">INDEX(М[Форма закупа],MATCH(1,IF(($B101=М[Наим.])*($C101=М[Артикул, марка, произв.])*($D101=М[Хар-ка])*($L101=М[Прим.]),{1},($B101=М[Наим.])*($C101=М[Артикул, марка, произв.])*($D101=М[Хар-ка])*($L101=М[Прим.])),0))</f>
        <v>Закупка подрядчик</v>
      </c>
    </row>
    <row r="102" spans="1:13" ht="11.1" customHeight="1" outlineLevel="4" x14ac:dyDescent="0.2">
      <c r="A102" s="16" t="s">
        <v>34</v>
      </c>
      <c r="B102" s="57" t="s">
        <v>46</v>
      </c>
      <c r="C102" s="15"/>
      <c r="D102" s="15" t="s">
        <v>47</v>
      </c>
      <c r="E102" s="16" t="s">
        <v>24</v>
      </c>
      <c r="F102" s="64">
        <v>1.4999999999999999E-2</v>
      </c>
      <c r="G102" s="18">
        <v>75.61</v>
      </c>
      <c r="H102" s="18">
        <v>124.47</v>
      </c>
      <c r="I102" s="18">
        <f>SUM($G$102:$H$102)</f>
        <v>200.07999999999998</v>
      </c>
      <c r="J102" s="22">
        <f t="array" ref="J102">INDEX(М[Цена за ед., руб],MATCH(1,IF(($B102=М[Наим.])*($C102=М[Артикул, марка, произв.])*($D102=М[Хар-ка])*($L102=М[Прим.]),{1},($B102=М[Наим.])*($C102=М[Артикул, марка, произв.])*($D102=М[Хар-ка])*($L102=М[Прим.])),0))</f>
        <v>0</v>
      </c>
      <c r="K102" s="22">
        <f>ROUND($I$102*$J$102,2)</f>
        <v>0</v>
      </c>
      <c r="L102" s="15"/>
      <c r="M102" s="15" t="str">
        <f t="array" ref="M102">INDEX(М[Форма закупа],MATCH(1,IF(($B102=М[Наим.])*($C102=М[Артикул, марка, произв.])*($D102=М[Хар-ка])*($L102=М[Прим.]),{1},($B102=М[Наим.])*($C102=М[Артикул, марка, произв.])*($D102=М[Хар-ка])*($L102=М[Прим.])),0))</f>
        <v>Закупка подрядчик</v>
      </c>
    </row>
    <row r="103" spans="1:13" ht="11.1" customHeight="1" outlineLevel="4" x14ac:dyDescent="0.2">
      <c r="A103" s="16" t="s">
        <v>38</v>
      </c>
      <c r="B103" s="57" t="s">
        <v>57</v>
      </c>
      <c r="C103" s="15"/>
      <c r="D103" s="15" t="s">
        <v>82</v>
      </c>
      <c r="E103" s="16" t="s">
        <v>24</v>
      </c>
      <c r="F103" s="64">
        <v>1.0149999999999999</v>
      </c>
      <c r="G103" s="22">
        <v>3157.21</v>
      </c>
      <c r="H103" s="23">
        <v>5179.1000000000004</v>
      </c>
      <c r="I103" s="22">
        <f>SUM($G$103:$H$103)</f>
        <v>8336.3100000000013</v>
      </c>
      <c r="J103" s="22">
        <f t="array" ref="J103">INDEX(М[Цена за ед., руб],MATCH(1,IF(($B103=М[Наим.])*($C103=М[Артикул, марка, произв.])*($D103=М[Хар-ка])*($L103=М[Прим.]),{1},($B103=М[Наим.])*($C103=М[Артикул, марка, произв.])*($D103=М[Хар-ка])*($L103=М[Прим.])),0))</f>
        <v>0</v>
      </c>
      <c r="K103" s="22">
        <f>ROUND($I$103*$J$103,2)</f>
        <v>0</v>
      </c>
      <c r="L103" s="15"/>
      <c r="M103" s="15" t="str">
        <f t="array" ref="M103">INDEX(М[Форма закупа],MATCH(1,IF(($B103=М[Наим.])*($C103=М[Артикул, марка, произв.])*($D103=М[Хар-ка])*($L103=М[Прим.]),{1},($B103=М[Наим.])*($C103=М[Артикул, марка, произв.])*($D103=М[Хар-ка])*($L103=М[Прим.])),0))</f>
        <v>Закупка подрядчик</v>
      </c>
    </row>
    <row r="104" spans="1:13" ht="11.1" customHeight="1" outlineLevel="4" x14ac:dyDescent="0.2">
      <c r="A104" s="16" t="s">
        <v>41</v>
      </c>
      <c r="B104" s="57" t="s">
        <v>57</v>
      </c>
      <c r="C104" s="15"/>
      <c r="D104" s="15" t="s">
        <v>83</v>
      </c>
      <c r="E104" s="16" t="s">
        <v>24</v>
      </c>
      <c r="F104" s="64">
        <v>1.0149999999999999</v>
      </c>
      <c r="G104" s="22">
        <v>1958.79</v>
      </c>
      <c r="H104" s="22">
        <v>3243.13</v>
      </c>
      <c r="I104" s="22">
        <f>SUM($G$104:$H$104)</f>
        <v>5201.92</v>
      </c>
      <c r="J104" s="22">
        <f t="array" ref="J104">INDEX(М[Цена за ед., руб],MATCH(1,IF(($B104=М[Наим.])*($C104=М[Артикул, марка, произв.])*($D104=М[Хар-ка])*($L104=М[Прим.]),{1},($B104=М[Наим.])*($C104=М[Артикул, марка, произв.])*($D104=М[Хар-ка])*($L104=М[Прим.])),0))</f>
        <v>0</v>
      </c>
      <c r="K104" s="22">
        <f>ROUND($I$104*$J$104,2)</f>
        <v>0</v>
      </c>
      <c r="L104" s="15"/>
      <c r="M104" s="15" t="str">
        <f t="array" ref="M104">INDEX(М[Форма закупа],MATCH(1,IF(($B104=М[Наим.])*($C104=М[Артикул, марка, произв.])*($D104=М[Хар-ка])*($L104=М[Прим.]),{1},($B104=М[Наим.])*($C104=М[Артикул, марка, произв.])*($D104=М[Хар-ка])*($L104=М[Прим.])),0))</f>
        <v>Закупка подрядчик</v>
      </c>
    </row>
    <row r="105" spans="1:13" ht="11.1" customHeight="1" outlineLevel="2" x14ac:dyDescent="0.2">
      <c r="A105" s="10" t="s">
        <v>92</v>
      </c>
      <c r="B105" s="55" t="s">
        <v>93</v>
      </c>
      <c r="C105" s="9"/>
      <c r="D105" s="9"/>
      <c r="E105" s="10"/>
      <c r="F105" s="11"/>
      <c r="G105" s="12"/>
      <c r="H105" s="12"/>
      <c r="I105" s="12"/>
      <c r="J105" s="47"/>
      <c r="K105" s="47">
        <f>SUM($K$106)</f>
        <v>0</v>
      </c>
      <c r="L105" s="13"/>
      <c r="M105" s="13"/>
    </row>
    <row r="106" spans="1:13" ht="11.1" customHeight="1" outlineLevel="3" x14ac:dyDescent="0.2">
      <c r="A106" s="10" t="s">
        <v>94</v>
      </c>
      <c r="B106" s="55" t="s">
        <v>93</v>
      </c>
      <c r="C106" s="9"/>
      <c r="D106" s="9"/>
      <c r="E106" s="10"/>
      <c r="F106" s="11"/>
      <c r="G106" s="12"/>
      <c r="H106" s="12"/>
      <c r="I106" s="12"/>
      <c r="J106" s="47"/>
      <c r="K106" s="47">
        <f>SUM($K$109,$K$107)</f>
        <v>0</v>
      </c>
      <c r="L106" s="13"/>
      <c r="M106" s="13"/>
    </row>
    <row r="107" spans="1:13" ht="11.1" customHeight="1" outlineLevel="4" x14ac:dyDescent="0.2">
      <c r="A107" s="56"/>
      <c r="B107" s="55" t="s">
        <v>22</v>
      </c>
      <c r="C107" s="14"/>
      <c r="D107" s="14"/>
      <c r="E107" s="14"/>
      <c r="F107" s="14"/>
      <c r="G107" s="14"/>
      <c r="H107" s="14"/>
      <c r="I107" s="14"/>
      <c r="J107" s="48"/>
      <c r="K107" s="49">
        <f>SUM($K$108)</f>
        <v>0</v>
      </c>
      <c r="L107" s="12"/>
      <c r="M107" s="12"/>
    </row>
    <row r="108" spans="1:13" ht="11.1" customHeight="1" outlineLevel="4" x14ac:dyDescent="0.2">
      <c r="A108" s="16"/>
      <c r="B108" s="57" t="s">
        <v>95</v>
      </c>
      <c r="C108" s="15"/>
      <c r="D108" s="15"/>
      <c r="E108" s="16" t="s">
        <v>44</v>
      </c>
      <c r="F108" s="17"/>
      <c r="G108" s="20">
        <v>2</v>
      </c>
      <c r="H108" s="20">
        <v>3</v>
      </c>
      <c r="I108" s="20">
        <f>SUM($G$108:$H$108)</f>
        <v>5</v>
      </c>
      <c r="J108" s="22">
        <f t="array" ref="J108">INDEX(Р[Столбец1],MATCH(1,IF(($B108=Р[Наименование])*($L108=Р[Примечание]),{1},($B108=Р[Наименование])*($L108=Р[Примечание])),0))</f>
        <v>0</v>
      </c>
      <c r="K108" s="22">
        <f>ROUND($I$108*$J$108,2)</f>
        <v>0</v>
      </c>
      <c r="L108" s="15" t="s">
        <v>96</v>
      </c>
      <c r="M108" s="15"/>
    </row>
    <row r="109" spans="1:13" ht="11.1" customHeight="1" outlineLevel="4" x14ac:dyDescent="0.2">
      <c r="A109" s="56"/>
      <c r="B109" s="55" t="s">
        <v>26</v>
      </c>
      <c r="C109" s="14"/>
      <c r="D109" s="14"/>
      <c r="E109" s="14"/>
      <c r="F109" s="14"/>
      <c r="G109" s="14"/>
      <c r="H109" s="14"/>
      <c r="I109" s="14"/>
      <c r="J109" s="48"/>
      <c r="K109" s="49">
        <f>SUM($K$110:$K$114)</f>
        <v>0</v>
      </c>
      <c r="L109" s="12"/>
      <c r="M109" s="12"/>
    </row>
    <row r="110" spans="1:13" ht="23.1" customHeight="1" outlineLevel="4" x14ac:dyDescent="0.2">
      <c r="A110" s="16" t="s">
        <v>27</v>
      </c>
      <c r="B110" s="57" t="s">
        <v>28</v>
      </c>
      <c r="C110" s="15"/>
      <c r="D110" s="15" t="s">
        <v>97</v>
      </c>
      <c r="E110" s="16" t="s">
        <v>30</v>
      </c>
      <c r="F110" s="64">
        <v>1.0149999999999999</v>
      </c>
      <c r="G110" s="19">
        <v>8.0000000000000002E-3</v>
      </c>
      <c r="H110" s="19">
        <v>1.2E-2</v>
      </c>
      <c r="I110" s="18">
        <f>SUM($G$110:$H$110)</f>
        <v>0.02</v>
      </c>
      <c r="J110" s="22">
        <f t="array" ref="J110">INDEX(М[Цена за ед., руб],MATCH(1,IF(($B110=М[Наим.])*($C110=М[Артикул, марка, произв.])*($D110=М[Хар-ка])*($L110=М[Прим.]),{1},($B110=М[Наим.])*($C110=М[Артикул, марка, произв.])*($D110=М[Хар-ка])*($L110=М[Прим.])),0))</f>
        <v>0</v>
      </c>
      <c r="K110" s="22">
        <f>ROUND($I$110*$J$110,2)</f>
        <v>0</v>
      </c>
      <c r="L110" s="15"/>
      <c r="M110" s="15" t="str">
        <f t="array" ref="M110">INDEX(М[Форма закупа],MATCH(1,IF(($B110=М[Наим.])*($C110=М[Артикул, марка, произв.])*($D110=М[Хар-ка])*($L110=М[Прим.]),{1},($B110=М[Наим.])*($C110=М[Артикул, марка, произв.])*($D110=М[Хар-ка])*($L110=М[Прим.])),0))</f>
        <v>Закупка подрядчик</v>
      </c>
    </row>
    <row r="111" spans="1:13" ht="11.1" customHeight="1" outlineLevel="4" x14ac:dyDescent="0.2">
      <c r="A111" s="16" t="s">
        <v>31</v>
      </c>
      <c r="B111" s="57" t="s">
        <v>32</v>
      </c>
      <c r="C111" s="15"/>
      <c r="D111" s="15" t="s">
        <v>98</v>
      </c>
      <c r="E111" s="16" t="s">
        <v>24</v>
      </c>
      <c r="F111" s="64">
        <v>1.0149999999999999</v>
      </c>
      <c r="G111" s="18">
        <v>16.84</v>
      </c>
      <c r="H111" s="18">
        <v>25.26</v>
      </c>
      <c r="I111" s="21">
        <f>SUM($G$111:$H$111)</f>
        <v>42.1</v>
      </c>
      <c r="J111" s="22">
        <f t="array" ref="J111">INDEX(М[Цена за ед., руб],MATCH(1,IF(($B111=М[Наим.])*($C111=М[Артикул, марка, произв.])*($D111=М[Хар-ка])*($L111=М[Прим.]),{1},($B111=М[Наим.])*($C111=М[Артикул, марка, произв.])*($D111=М[Хар-ка])*($L111=М[Прим.])),0))</f>
        <v>0</v>
      </c>
      <c r="K111" s="22">
        <f>ROUND($I$111*$J$111,2)</f>
        <v>0</v>
      </c>
      <c r="L111" s="15"/>
      <c r="M111" s="15" t="str">
        <f t="array" ref="M111">INDEX(М[Форма закупа],MATCH(1,IF(($B111=М[Наим.])*($C111=М[Артикул, марка, произв.])*($D111=М[Хар-ка])*($L111=М[Прим.]),{1},($B111=М[Наим.])*($C111=М[Артикул, марка, произв.])*($D111=М[Хар-ка])*($L111=М[Прим.])),0))</f>
        <v>Закупка подрядчик</v>
      </c>
    </row>
    <row r="112" spans="1:13" ht="47.1" customHeight="1" outlineLevel="4" x14ac:dyDescent="0.2">
      <c r="A112" s="16" t="s">
        <v>34</v>
      </c>
      <c r="B112" s="57" t="s">
        <v>35</v>
      </c>
      <c r="C112" s="15"/>
      <c r="D112" s="15" t="s">
        <v>36</v>
      </c>
      <c r="E112" s="16" t="s">
        <v>37</v>
      </c>
      <c r="F112" s="64">
        <v>0.14000000000000001</v>
      </c>
      <c r="G112" s="21">
        <v>0.1</v>
      </c>
      <c r="H112" s="18">
        <v>0.15</v>
      </c>
      <c r="I112" s="18">
        <f>SUM($G$112:$H$112)</f>
        <v>0.25</v>
      </c>
      <c r="J112" s="22">
        <f t="array" ref="J112">INDEX(М[Цена за ед., руб],MATCH(1,IF(($B112=М[Наим.])*($C112=М[Артикул, марка, произв.])*($D112=М[Хар-ка])*($L112=М[Прим.]),{1},($B112=М[Наим.])*($C112=М[Артикул, марка, произв.])*($D112=М[Хар-ка])*($L112=М[Прим.])),0))</f>
        <v>0</v>
      </c>
      <c r="K112" s="22">
        <f>ROUND($I$112*$J$112,2)</f>
        <v>0</v>
      </c>
      <c r="L112" s="15"/>
      <c r="M112" s="15" t="str">
        <f t="array" ref="M112">INDEX(М[Форма закупа],MATCH(1,IF(($B112=М[Наим.])*($C112=М[Артикул, марка, произв.])*($D112=М[Хар-ка])*($L112=М[Прим.]),{1},($B112=М[Наим.])*($C112=М[Артикул, марка, произв.])*($D112=М[Хар-ка])*($L112=М[Прим.])),0))</f>
        <v>Закупка подрядчик</v>
      </c>
    </row>
    <row r="113" spans="1:16" ht="11.1" customHeight="1" outlineLevel="4" x14ac:dyDescent="0.2">
      <c r="A113" s="16" t="s">
        <v>38</v>
      </c>
      <c r="B113" s="57" t="s">
        <v>39</v>
      </c>
      <c r="C113" s="15"/>
      <c r="D113" s="15" t="s">
        <v>40</v>
      </c>
      <c r="E113" s="16" t="s">
        <v>24</v>
      </c>
      <c r="F113" s="64">
        <v>7.6999999999999999E-2</v>
      </c>
      <c r="G113" s="18">
        <v>0.05</v>
      </c>
      <c r="H113" s="18">
        <v>0.08</v>
      </c>
      <c r="I113" s="18">
        <f>SUM($G$113:$H$113)</f>
        <v>0.13</v>
      </c>
      <c r="J113" s="22">
        <f t="array" ref="J113">INDEX(М[Цена за ед., руб],MATCH(1,IF(($B113=М[Наим.])*($C113=М[Артикул, марка, произв.])*($D113=М[Хар-ка])*($L113=М[Прим.]),{1},($B113=М[Наим.])*($C113=М[Артикул, марка, произв.])*($D113=М[Хар-ка])*($L113=М[Прим.])),0))</f>
        <v>0</v>
      </c>
      <c r="K113" s="22">
        <f>ROUND($I$113*$J$113,2)</f>
        <v>0</v>
      </c>
      <c r="L113" s="15"/>
      <c r="M113" s="15" t="str">
        <f t="array" ref="M113">INDEX(М[Форма закупа],MATCH(1,IF(($B113=М[Наим.])*($C113=М[Артикул, марка, произв.])*($D113=М[Хар-ка])*($L113=М[Прим.]),{1},($B113=М[Наим.])*($C113=М[Артикул, марка, произв.])*($D113=М[Хар-ка])*($L113=М[Прим.])),0))</f>
        <v>Закупка подрядчик</v>
      </c>
    </row>
    <row r="114" spans="1:16" ht="11.1" customHeight="1" outlineLevel="4" x14ac:dyDescent="0.2">
      <c r="A114" s="16" t="s">
        <v>41</v>
      </c>
      <c r="B114" s="57" t="s">
        <v>46</v>
      </c>
      <c r="C114" s="15"/>
      <c r="D114" s="15" t="s">
        <v>47</v>
      </c>
      <c r="E114" s="16" t="s">
        <v>24</v>
      </c>
      <c r="F114" s="64">
        <v>1.4999999999999999E-2</v>
      </c>
      <c r="G114" s="18">
        <v>0.37</v>
      </c>
      <c r="H114" s="18">
        <v>0.56000000000000005</v>
      </c>
      <c r="I114" s="18">
        <f>SUM($G$114:$H$114)</f>
        <v>0.93</v>
      </c>
      <c r="J114" s="22">
        <f t="array" ref="J114">INDEX(М[Цена за ед., руб],MATCH(1,IF(($B114=М[Наим.])*($C114=М[Артикул,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0</v>
      </c>
      <c r="K114" s="22">
        <f>ROUND($I$114*$J$114,2)</f>
        <v>0</v>
      </c>
      <c r="L114" s="15"/>
      <c r="M114" s="15" t="str">
        <f t="array" ref="M114">INDEX(М[Форма закупа],MATCH(1,IF(($B114=М[Наим.])*($C114=М[Артикул,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Закупка подрядчик</v>
      </c>
    </row>
    <row r="115" spans="1:16" ht="11.1" customHeight="1" x14ac:dyDescent="0.2">
      <c r="A115" s="58"/>
      <c r="B115" s="59"/>
      <c r="C115" s="59"/>
      <c r="D115" s="59"/>
      <c r="E115" s="59"/>
      <c r="F115" s="59"/>
      <c r="G115" s="60"/>
      <c r="H115" s="60"/>
      <c r="I115" s="85" t="s">
        <v>99</v>
      </c>
      <c r="J115" s="86"/>
      <c r="K115" s="50">
        <f>$K$9</f>
        <v>0</v>
      </c>
      <c r="L115" s="61"/>
      <c r="M115" s="61"/>
    </row>
    <row r="116" spans="1:16" ht="11.1" customHeight="1" x14ac:dyDescent="0.2">
      <c r="A116" s="58"/>
      <c r="B116" s="59"/>
      <c r="C116" s="59"/>
      <c r="D116" s="59"/>
      <c r="E116" s="59"/>
      <c r="F116" s="59"/>
      <c r="G116" s="62"/>
      <c r="H116" s="62"/>
      <c r="I116" s="75" t="s">
        <v>100</v>
      </c>
      <c r="J116" s="76"/>
      <c r="K116" s="50">
        <f>SUM($K$107,$K$97,$K$89,$K$81,$K$73,$K$65,$K$50,$K$36,$K$24,$K$12)</f>
        <v>0</v>
      </c>
      <c r="L116" s="61"/>
      <c r="M116" s="61"/>
    </row>
    <row r="117" spans="1:16" ht="11.1" customHeight="1" x14ac:dyDescent="0.2">
      <c r="A117" s="58"/>
      <c r="B117" s="59"/>
      <c r="C117" s="59"/>
      <c r="D117" s="59"/>
      <c r="E117" s="59"/>
      <c r="F117" s="59"/>
      <c r="G117" s="62"/>
      <c r="H117" s="62"/>
      <c r="I117" s="75" t="s">
        <v>101</v>
      </c>
      <c r="J117" s="76"/>
      <c r="K117" s="50">
        <f>SUM($K$109,$K$99,$K$91,$K$83,$K$75,$K$67,$K$52,$K$38,$K$26,$K$14)</f>
        <v>0</v>
      </c>
      <c r="L117" s="61"/>
      <c r="M117" s="61"/>
    </row>
    <row r="118" spans="1:16" ht="11.1" customHeight="1" x14ac:dyDescent="0.2">
      <c r="A118" s="63"/>
      <c r="B118" s="77" t="s">
        <v>102</v>
      </c>
      <c r="C118" s="77"/>
      <c r="D118" s="77"/>
      <c r="E118" s="77"/>
      <c r="F118" s="77"/>
      <c r="G118" s="77"/>
      <c r="H118" s="77"/>
      <c r="I118" s="77"/>
      <c r="J118" s="78"/>
      <c r="K118" s="78"/>
      <c r="L118" s="77"/>
      <c r="M118" s="63"/>
    </row>
    <row r="119" spans="1:16" ht="11.1" customHeight="1" x14ac:dyDescent="0.2">
      <c r="B119" s="79"/>
      <c r="C119" s="79"/>
      <c r="D119" s="79"/>
      <c r="E119" s="79"/>
      <c r="F119" s="79"/>
      <c r="G119" s="79"/>
      <c r="H119" s="79"/>
      <c r="I119" s="79"/>
      <c r="J119" s="80"/>
      <c r="K119" s="80"/>
      <c r="L119" s="79"/>
    </row>
    <row r="122" spans="1:16" ht="11.45" customHeight="1" x14ac:dyDescent="0.2">
      <c r="A122"/>
      <c r="B122" s="72" t="s">
        <v>122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ht="21" customHeight="1" x14ac:dyDescent="0.2">
      <c r="A123" s="73" t="s">
        <v>123</v>
      </c>
      <c r="B123" s="74" t="s">
        <v>124</v>
      </c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3"/>
      <c r="N123" s="74"/>
      <c r="O123" s="74"/>
      <c r="P123" s="74"/>
    </row>
    <row r="124" spans="1:16" ht="21" customHeight="1" x14ac:dyDescent="0.2">
      <c r="A124" s="73" t="s">
        <v>123</v>
      </c>
      <c r="B124" s="74" t="s">
        <v>125</v>
      </c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3"/>
      <c r="N124" s="74"/>
      <c r="O124" s="74"/>
      <c r="P124" s="74"/>
    </row>
    <row r="125" spans="1:16" ht="21" customHeight="1" x14ac:dyDescent="0.2">
      <c r="A125" s="73" t="s">
        <v>123</v>
      </c>
      <c r="B125" s="74" t="s">
        <v>126</v>
      </c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3"/>
      <c r="N125" s="74"/>
      <c r="O125" s="74"/>
      <c r="P125" s="74"/>
    </row>
    <row r="126" spans="1:16" ht="58.5" customHeight="1" x14ac:dyDescent="0.2">
      <c r="A126" s="73" t="s">
        <v>123</v>
      </c>
      <c r="B126" s="74" t="s">
        <v>127</v>
      </c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3"/>
      <c r="N126" s="74"/>
      <c r="O126" s="74"/>
      <c r="P126" s="74"/>
    </row>
    <row r="127" spans="1:16" ht="16.5" customHeight="1" x14ac:dyDescent="0.2">
      <c r="A127" s="73" t="s">
        <v>123</v>
      </c>
      <c r="B127" s="74" t="s">
        <v>128</v>
      </c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3"/>
      <c r="N127" s="74"/>
      <c r="O127" s="74"/>
      <c r="P127" s="74"/>
    </row>
    <row r="128" spans="1:16" ht="16.5" customHeight="1" x14ac:dyDescent="0.2">
      <c r="A128" s="73" t="s">
        <v>123</v>
      </c>
      <c r="B128" s="74" t="s">
        <v>129</v>
      </c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3"/>
      <c r="N128" s="74"/>
      <c r="O128" s="74"/>
      <c r="P128" s="74"/>
    </row>
    <row r="129" spans="1:16" ht="16.5" customHeight="1" x14ac:dyDescent="0.2">
      <c r="A129" s="73" t="s">
        <v>123</v>
      </c>
      <c r="B129" s="74" t="s">
        <v>130</v>
      </c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3"/>
      <c r="N129" s="74"/>
      <c r="O129" s="74"/>
      <c r="P129" s="74"/>
    </row>
  </sheetData>
  <mergeCells count="35">
    <mergeCell ref="A6:A7"/>
    <mergeCell ref="B6:B7"/>
    <mergeCell ref="C6:C7"/>
    <mergeCell ref="D6:D7"/>
    <mergeCell ref="E6:E7"/>
    <mergeCell ref="M6:M7"/>
    <mergeCell ref="I115:J115"/>
    <mergeCell ref="I116:J116"/>
    <mergeCell ref="B2:J2"/>
    <mergeCell ref="B3:J3"/>
    <mergeCell ref="B4:J4"/>
    <mergeCell ref="F6:F7"/>
    <mergeCell ref="G6:G7"/>
    <mergeCell ref="H6:H7"/>
    <mergeCell ref="I6:I7"/>
    <mergeCell ref="J6:J7"/>
    <mergeCell ref="I117:J117"/>
    <mergeCell ref="B118:L118"/>
    <mergeCell ref="B119:L119"/>
    <mergeCell ref="K6:K7"/>
    <mergeCell ref="L6:L7"/>
    <mergeCell ref="B129:L129"/>
    <mergeCell ref="N129:P129"/>
    <mergeCell ref="B126:L126"/>
    <mergeCell ref="N126:P126"/>
    <mergeCell ref="B127:L127"/>
    <mergeCell ref="N127:P127"/>
    <mergeCell ref="B128:L128"/>
    <mergeCell ref="N128:P128"/>
    <mergeCell ref="B123:L123"/>
    <mergeCell ref="N123:P123"/>
    <mergeCell ref="B124:L124"/>
    <mergeCell ref="N124:P124"/>
    <mergeCell ref="B125:L125"/>
    <mergeCell ref="N125:P125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5"/>
  <sheetViews>
    <sheetView workbookViewId="0">
      <pane ySplit="3" topLeftCell="A4" activePane="bottomLeft" state="frozen"/>
      <selection pane="bottomLeft" activeCell="D4" sqref="D4:D13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95" t="s">
        <v>103</v>
      </c>
      <c r="B1" s="95"/>
      <c r="C1" s="95"/>
      <c r="D1" s="95"/>
      <c r="E1" s="95"/>
      <c r="F1" s="95"/>
    </row>
    <row r="3" spans="1:6" ht="11.1" customHeight="1" x14ac:dyDescent="0.2">
      <c r="A3" s="33" t="s">
        <v>3</v>
      </c>
      <c r="B3" s="2" t="s">
        <v>6</v>
      </c>
      <c r="C3" s="2" t="s">
        <v>10</v>
      </c>
      <c r="D3" s="40" t="s">
        <v>121</v>
      </c>
      <c r="E3" s="40" t="s">
        <v>12</v>
      </c>
      <c r="F3" s="34" t="s">
        <v>13</v>
      </c>
    </row>
    <row r="4" spans="1:6" ht="11.1" customHeight="1" x14ac:dyDescent="0.2">
      <c r="A4" s="31" t="s">
        <v>23</v>
      </c>
      <c r="B4" s="24" t="s">
        <v>24</v>
      </c>
      <c r="C4" s="25">
        <v>106.32</v>
      </c>
      <c r="D4" s="27"/>
      <c r="E4" s="27">
        <f>ROUND(Р[[#This Row],[Количество]]*Р[[#This Row],[Столбец1]],2)</f>
        <v>0</v>
      </c>
      <c r="F4" s="32" t="s">
        <v>25</v>
      </c>
    </row>
    <row r="5" spans="1:6" ht="23.1" customHeight="1" x14ac:dyDescent="0.2">
      <c r="A5" s="31" t="s">
        <v>55</v>
      </c>
      <c r="B5" s="24" t="s">
        <v>24</v>
      </c>
      <c r="C5" s="25">
        <v>26.04</v>
      </c>
      <c r="D5" s="27"/>
      <c r="E5" s="27">
        <f>ROUND(Р[[#This Row],[Количество]]*Р[[#This Row],[Столбец1]],2)</f>
        <v>0</v>
      </c>
      <c r="F5" s="32" t="s">
        <v>56</v>
      </c>
    </row>
    <row r="6" spans="1:6" ht="23.1" customHeight="1" x14ac:dyDescent="0.2">
      <c r="A6" s="31" t="s">
        <v>68</v>
      </c>
      <c r="B6" s="24" t="s">
        <v>24</v>
      </c>
      <c r="C6" s="27">
        <v>2972.55</v>
      </c>
      <c r="D6" s="27"/>
      <c r="E6" s="27">
        <f>ROUND(Р[[#This Row],[Количество]]*Р[[#This Row],[Столбец1]],2)</f>
        <v>0</v>
      </c>
      <c r="F6" s="32" t="s">
        <v>69</v>
      </c>
    </row>
    <row r="7" spans="1:6" ht="23.1" customHeight="1" x14ac:dyDescent="0.2">
      <c r="A7" s="31" t="s">
        <v>76</v>
      </c>
      <c r="B7" s="24" t="s">
        <v>24</v>
      </c>
      <c r="C7" s="25">
        <v>479.94</v>
      </c>
      <c r="D7" s="27"/>
      <c r="E7" s="27">
        <f>ROUND(Р[[#This Row],[Количество]]*Р[[#This Row],[Столбец1]],2)</f>
        <v>0</v>
      </c>
      <c r="F7" s="32" t="s">
        <v>77</v>
      </c>
    </row>
    <row r="8" spans="1:6" ht="23.1" customHeight="1" x14ac:dyDescent="0.2">
      <c r="A8" s="31" t="s">
        <v>80</v>
      </c>
      <c r="B8" s="24" t="s">
        <v>24</v>
      </c>
      <c r="C8" s="25">
        <v>112.59</v>
      </c>
      <c r="D8" s="27"/>
      <c r="E8" s="27">
        <f>ROUND(Р[[#This Row],[Количество]]*Р[[#This Row],[Столбец1]],2)</f>
        <v>0</v>
      </c>
      <c r="F8" s="32" t="s">
        <v>81</v>
      </c>
    </row>
    <row r="9" spans="1:6" ht="23.1" customHeight="1" x14ac:dyDescent="0.2">
      <c r="A9" s="31" t="s">
        <v>84</v>
      </c>
      <c r="B9" s="24" t="s">
        <v>24</v>
      </c>
      <c r="C9" s="25">
        <v>146.58000000000001</v>
      </c>
      <c r="D9" s="27"/>
      <c r="E9" s="27">
        <f>ROUND(Р[[#This Row],[Количество]]*Р[[#This Row],[Столбец1]],2)</f>
        <v>0</v>
      </c>
      <c r="F9" s="32" t="s">
        <v>85</v>
      </c>
    </row>
    <row r="10" spans="1:6" ht="23.1" customHeight="1" x14ac:dyDescent="0.2">
      <c r="A10" s="31" t="s">
        <v>86</v>
      </c>
      <c r="B10" s="24" t="s">
        <v>24</v>
      </c>
      <c r="C10" s="25">
        <v>336.41</v>
      </c>
      <c r="D10" s="27"/>
      <c r="E10" s="27">
        <f>ROUND(Р[[#This Row],[Количество]]*Р[[#This Row],[Столбец1]],2)</f>
        <v>0</v>
      </c>
      <c r="F10" s="32" t="s">
        <v>87</v>
      </c>
    </row>
    <row r="11" spans="1:6" ht="23.1" customHeight="1" x14ac:dyDescent="0.2">
      <c r="A11" s="31" t="s">
        <v>88</v>
      </c>
      <c r="B11" s="24" t="s">
        <v>24</v>
      </c>
      <c r="C11" s="25">
        <v>181.64</v>
      </c>
      <c r="D11" s="27"/>
      <c r="E11" s="27">
        <f>ROUND(Р[[#This Row],[Количество]]*Р[[#This Row],[Столбец1]],2)</f>
        <v>0</v>
      </c>
      <c r="F11" s="32" t="s">
        <v>89</v>
      </c>
    </row>
    <row r="12" spans="1:6" ht="23.1" customHeight="1" x14ac:dyDescent="0.2">
      <c r="A12" s="31" t="s">
        <v>90</v>
      </c>
      <c r="B12" s="24" t="s">
        <v>24</v>
      </c>
      <c r="C12" s="27">
        <v>13338.15</v>
      </c>
      <c r="D12" s="27"/>
      <c r="E12" s="27">
        <f>ROUND(Р[[#This Row],[Количество]]*Р[[#This Row],[Столбец1]],2)</f>
        <v>0</v>
      </c>
      <c r="F12" s="32" t="s">
        <v>91</v>
      </c>
    </row>
    <row r="13" spans="1:6" ht="11.1" customHeight="1" x14ac:dyDescent="0.2">
      <c r="A13" s="35" t="s">
        <v>95</v>
      </c>
      <c r="B13" s="36" t="s">
        <v>44</v>
      </c>
      <c r="C13" s="37">
        <v>5</v>
      </c>
      <c r="D13" s="27"/>
      <c r="E13" s="41">
        <f>ROUND(Р[[#This Row],[Количество]]*Р[[#This Row],[Столбец1]],2)</f>
        <v>0</v>
      </c>
      <c r="F13" s="39" t="s">
        <v>96</v>
      </c>
    </row>
    <row r="14" spans="1:6" ht="11.45" customHeight="1" x14ac:dyDescent="0.2">
      <c r="A14" s="35" t="s">
        <v>117</v>
      </c>
      <c r="B14" s="36"/>
      <c r="C14" s="38"/>
      <c r="D14" s="41" t="s">
        <v>119</v>
      </c>
      <c r="E14" s="41">
        <f>SUBTOTAL(109,Р[Сумма, руб])</f>
        <v>0</v>
      </c>
      <c r="F14" s="39"/>
    </row>
    <row r="15" spans="1:6" ht="11.45" customHeight="1" x14ac:dyDescent="0.2">
      <c r="D15" s="66" t="s">
        <v>120</v>
      </c>
      <c r="E15" s="67">
        <f>Р[[#Totals],[Сумма, руб]]-ЛСР!K116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5"/>
  <sheetViews>
    <sheetView tabSelected="1" workbookViewId="0">
      <pane ySplit="3" topLeftCell="A4" activePane="bottomLeft" state="frozen"/>
      <selection pane="bottomLeft" activeCell="H31" sqref="H31"/>
    </sheetView>
  </sheetViews>
  <sheetFormatPr defaultColWidth="10.5" defaultRowHeight="11.45" customHeight="1" x14ac:dyDescent="0.2"/>
  <cols>
    <col min="1" max="1" width="51.6640625" style="51" customWidth="1"/>
    <col min="2" max="2" width="26" style="51" customWidth="1"/>
    <col min="3" max="3" width="28.5" style="51" customWidth="1"/>
    <col min="4" max="4" width="10.6640625" style="51" customWidth="1"/>
    <col min="5" max="5" width="14.6640625" style="51" customWidth="1"/>
    <col min="6" max="6" width="18.33203125" style="51" customWidth="1"/>
    <col min="7" max="7" width="17" style="51" customWidth="1"/>
    <col min="8" max="8" width="36.5" style="51" customWidth="1"/>
    <col min="9" max="9" width="23.33203125" style="51" customWidth="1"/>
    <col min="10" max="16384" width="10.5" style="52"/>
  </cols>
  <sheetData>
    <row r="1" spans="1:9" ht="11.1" customHeight="1" x14ac:dyDescent="0.2">
      <c r="A1" s="96" t="s">
        <v>104</v>
      </c>
      <c r="B1" s="96"/>
      <c r="C1" s="96"/>
      <c r="D1" s="96"/>
      <c r="E1" s="96"/>
      <c r="F1" s="96"/>
      <c r="G1" s="96"/>
      <c r="H1" s="96"/>
    </row>
    <row r="2" spans="1:9" ht="11.1" customHeight="1" x14ac:dyDescent="0.2"/>
    <row r="3" spans="1:9" ht="23.1" customHeight="1" x14ac:dyDescent="0.2">
      <c r="A3" s="33" t="s">
        <v>105</v>
      </c>
      <c r="B3" s="42" t="s">
        <v>106</v>
      </c>
      <c r="C3" s="34" t="s">
        <v>107</v>
      </c>
      <c r="D3" s="2" t="s">
        <v>6</v>
      </c>
      <c r="E3" s="2" t="s">
        <v>10</v>
      </c>
      <c r="F3" s="40" t="s">
        <v>11</v>
      </c>
      <c r="G3" s="40" t="s">
        <v>12</v>
      </c>
      <c r="H3" s="2" t="s">
        <v>108</v>
      </c>
      <c r="I3" s="34" t="s">
        <v>109</v>
      </c>
    </row>
    <row r="4" spans="1:9" ht="11.1" customHeight="1" x14ac:dyDescent="0.2">
      <c r="A4" s="68" t="s">
        <v>28</v>
      </c>
      <c r="B4" s="26"/>
      <c r="C4" s="26" t="s">
        <v>97</v>
      </c>
      <c r="D4" s="24" t="s">
        <v>30</v>
      </c>
      <c r="E4" s="25">
        <v>0.02</v>
      </c>
      <c r="F4" s="27"/>
      <c r="G4" s="27">
        <f>ROUND(М[[#This Row],[Количество]]*М[[#This Row],[Цена за ед., руб]],2)</f>
        <v>0</v>
      </c>
      <c r="H4" s="26"/>
      <c r="I4" s="32" t="s">
        <v>110</v>
      </c>
    </row>
    <row r="5" spans="1:9" ht="11.1" customHeight="1" x14ac:dyDescent="0.2">
      <c r="A5" s="68" t="s">
        <v>28</v>
      </c>
      <c r="B5" s="26"/>
      <c r="C5" s="26" t="s">
        <v>29</v>
      </c>
      <c r="D5" s="24" t="s">
        <v>30</v>
      </c>
      <c r="E5" s="29">
        <v>2.8000000000000001E-2</v>
      </c>
      <c r="F5" s="27"/>
      <c r="G5" s="27">
        <f>ROUND(М[[#This Row],[Количество]]*М[[#This Row],[Цена за ед., руб]],2)</f>
        <v>0</v>
      </c>
      <c r="H5" s="26"/>
      <c r="I5" s="32" t="s">
        <v>110</v>
      </c>
    </row>
    <row r="6" spans="1:9" ht="11.1" customHeight="1" x14ac:dyDescent="0.2">
      <c r="A6" s="68" t="s">
        <v>32</v>
      </c>
      <c r="B6" s="26"/>
      <c r="C6" s="26" t="s">
        <v>98</v>
      </c>
      <c r="D6" s="24" t="s">
        <v>24</v>
      </c>
      <c r="E6" s="30">
        <v>42.1</v>
      </c>
      <c r="F6" s="27"/>
      <c r="G6" s="27">
        <f>ROUND(М[[#This Row],[Количество]]*М[[#This Row],[Цена за ед., руб]],2)</f>
        <v>0</v>
      </c>
      <c r="H6" s="26"/>
      <c r="I6" s="32" t="s">
        <v>110</v>
      </c>
    </row>
    <row r="7" spans="1:9" ht="11.1" customHeight="1" x14ac:dyDescent="0.2">
      <c r="A7" s="68" t="s">
        <v>32</v>
      </c>
      <c r="B7" s="26"/>
      <c r="C7" s="26" t="s">
        <v>33</v>
      </c>
      <c r="D7" s="24" t="s">
        <v>24</v>
      </c>
      <c r="E7" s="25">
        <v>76.88</v>
      </c>
      <c r="F7" s="27"/>
      <c r="G7" s="27">
        <f>ROUND(М[[#This Row],[Количество]]*М[[#This Row],[Цена за ед., руб]],2)</f>
        <v>0</v>
      </c>
      <c r="H7" s="26"/>
      <c r="I7" s="32" t="s">
        <v>110</v>
      </c>
    </row>
    <row r="8" spans="1:9" ht="35.1" customHeight="1" x14ac:dyDescent="0.2">
      <c r="A8" s="68" t="s">
        <v>35</v>
      </c>
      <c r="B8" s="26"/>
      <c r="C8" s="26" t="s">
        <v>70</v>
      </c>
      <c r="D8" s="24" t="s">
        <v>37</v>
      </c>
      <c r="E8" s="25">
        <v>128.94</v>
      </c>
      <c r="F8" s="27"/>
      <c r="G8" s="27">
        <f>ROUND(М[[#This Row],[Количество]]*М[[#This Row],[Цена за ед., руб]],2)</f>
        <v>0</v>
      </c>
      <c r="H8" s="26"/>
      <c r="I8" s="32" t="s">
        <v>110</v>
      </c>
    </row>
    <row r="9" spans="1:9" ht="35.1" customHeight="1" x14ac:dyDescent="0.2">
      <c r="A9" s="68" t="s">
        <v>35</v>
      </c>
      <c r="B9" s="26"/>
      <c r="C9" s="26" t="s">
        <v>36</v>
      </c>
      <c r="D9" s="24" t="s">
        <v>37</v>
      </c>
      <c r="E9" s="25">
        <v>27.15</v>
      </c>
      <c r="F9" s="27"/>
      <c r="G9" s="27">
        <f>ROUND(М[[#This Row],[Количество]]*М[[#This Row],[Цена за ед., руб]],2)</f>
        <v>0</v>
      </c>
      <c r="H9" s="26"/>
      <c r="I9" s="32" t="s">
        <v>110</v>
      </c>
    </row>
    <row r="10" spans="1:9" ht="11.1" customHeight="1" x14ac:dyDescent="0.2">
      <c r="A10" s="68" t="s">
        <v>39</v>
      </c>
      <c r="B10" s="26"/>
      <c r="C10" s="26" t="s">
        <v>40</v>
      </c>
      <c r="D10" s="24" t="s">
        <v>24</v>
      </c>
      <c r="E10" s="25">
        <v>85.85</v>
      </c>
      <c r="F10" s="27"/>
      <c r="G10" s="27">
        <f>ROUND(М[[#This Row],[Количество]]*М[[#This Row],[Цена за ед., руб]],2)</f>
        <v>0</v>
      </c>
      <c r="H10" s="26"/>
      <c r="I10" s="32" t="s">
        <v>110</v>
      </c>
    </row>
    <row r="11" spans="1:9" ht="11.1" customHeight="1" x14ac:dyDescent="0.2">
      <c r="A11" s="68" t="s">
        <v>42</v>
      </c>
      <c r="B11" s="26"/>
      <c r="C11" s="26" t="s">
        <v>43</v>
      </c>
      <c r="D11" s="24" t="s">
        <v>44</v>
      </c>
      <c r="E11" s="28">
        <v>942</v>
      </c>
      <c r="F11" s="27"/>
      <c r="G11" s="27">
        <f>ROUND(М[[#This Row],[Количество]]*М[[#This Row],[Цена за ед., руб]],2)</f>
        <v>0</v>
      </c>
      <c r="H11" s="26"/>
      <c r="I11" s="32" t="s">
        <v>110</v>
      </c>
    </row>
    <row r="12" spans="1:9" ht="11.1" customHeight="1" x14ac:dyDescent="0.2">
      <c r="A12" s="68" t="s">
        <v>46</v>
      </c>
      <c r="B12" s="26"/>
      <c r="C12" s="26" t="s">
        <v>47</v>
      </c>
      <c r="D12" s="24" t="s">
        <v>24</v>
      </c>
      <c r="E12" s="25">
        <v>266.45999999999998</v>
      </c>
      <c r="F12" s="27"/>
      <c r="G12" s="27">
        <f>ROUND(М[[#This Row],[Количество]]*М[[#This Row],[Цена за ед., руб]],2)</f>
        <v>0</v>
      </c>
      <c r="H12" s="26"/>
      <c r="I12" s="32" t="s">
        <v>110</v>
      </c>
    </row>
    <row r="13" spans="1:9" ht="11.1" customHeight="1" x14ac:dyDescent="0.2">
      <c r="A13" s="68" t="s">
        <v>49</v>
      </c>
      <c r="B13" s="26"/>
      <c r="C13" s="26" t="s">
        <v>50</v>
      </c>
      <c r="D13" s="24" t="s">
        <v>24</v>
      </c>
      <c r="E13" s="25">
        <v>3.82</v>
      </c>
      <c r="F13" s="27"/>
      <c r="G13" s="27">
        <f>ROUND(М[[#This Row],[Количество]]*М[[#This Row],[Цена за ед., руб]],2)</f>
        <v>0</v>
      </c>
      <c r="H13" s="26" t="s">
        <v>51</v>
      </c>
      <c r="I13" s="32" t="s">
        <v>110</v>
      </c>
    </row>
    <row r="14" spans="1:9" ht="11.1" customHeight="1" x14ac:dyDescent="0.2">
      <c r="A14" s="68" t="s">
        <v>57</v>
      </c>
      <c r="B14" s="26"/>
      <c r="C14" s="26" t="s">
        <v>58</v>
      </c>
      <c r="D14" s="24" t="s">
        <v>24</v>
      </c>
      <c r="E14" s="30">
        <v>20.9</v>
      </c>
      <c r="F14" s="27"/>
      <c r="G14" s="27">
        <f>ROUND(М[[#This Row],[Количество]]*М[[#This Row],[Цена за ед., руб]],2)</f>
        <v>0</v>
      </c>
      <c r="H14" s="26"/>
      <c r="I14" s="32" t="s">
        <v>110</v>
      </c>
    </row>
    <row r="15" spans="1:9" ht="11.1" customHeight="1" x14ac:dyDescent="0.2">
      <c r="A15" s="68" t="s">
        <v>57</v>
      </c>
      <c r="B15" s="26"/>
      <c r="C15" s="26" t="s">
        <v>82</v>
      </c>
      <c r="D15" s="24" t="s">
        <v>24</v>
      </c>
      <c r="E15" s="27">
        <v>8824.69</v>
      </c>
      <c r="F15" s="27"/>
      <c r="G15" s="27">
        <f>ROUND(М[[#This Row],[Количество]]*М[[#This Row],[Цена за ед., руб]],2)</f>
        <v>0</v>
      </c>
      <c r="H15" s="26"/>
      <c r="I15" s="32" t="s">
        <v>110</v>
      </c>
    </row>
    <row r="16" spans="1:9" ht="11.1" customHeight="1" x14ac:dyDescent="0.2">
      <c r="A16" s="68" t="s">
        <v>57</v>
      </c>
      <c r="B16" s="26"/>
      <c r="C16" s="26" t="s">
        <v>71</v>
      </c>
      <c r="D16" s="24" t="s">
        <v>24</v>
      </c>
      <c r="E16" s="27">
        <v>1394.47</v>
      </c>
      <c r="F16" s="27"/>
      <c r="G16" s="27">
        <f>ROUND(М[[#This Row],[Количество]]*М[[#This Row],[Цена за ед., руб]],2)</f>
        <v>0</v>
      </c>
      <c r="H16" s="26"/>
      <c r="I16" s="32" t="s">
        <v>110</v>
      </c>
    </row>
    <row r="17" spans="1:9" ht="11.1" customHeight="1" x14ac:dyDescent="0.2">
      <c r="A17" s="68" t="s">
        <v>57</v>
      </c>
      <c r="B17" s="26"/>
      <c r="C17" s="26" t="s">
        <v>83</v>
      </c>
      <c r="D17" s="24" t="s">
        <v>24</v>
      </c>
      <c r="E17" s="27">
        <v>5502.42</v>
      </c>
      <c r="F17" s="27"/>
      <c r="G17" s="27">
        <f>ROUND(М[[#This Row],[Количество]]*М[[#This Row],[Цена за ед., руб]],2)</f>
        <v>0</v>
      </c>
      <c r="H17" s="26"/>
      <c r="I17" s="32" t="s">
        <v>110</v>
      </c>
    </row>
    <row r="18" spans="1:9" ht="11.1" customHeight="1" x14ac:dyDescent="0.2">
      <c r="A18" s="68" t="s">
        <v>57</v>
      </c>
      <c r="B18" s="26"/>
      <c r="C18" s="26" t="s">
        <v>59</v>
      </c>
      <c r="D18" s="24" t="s">
        <v>24</v>
      </c>
      <c r="E18" s="27">
        <v>1233.69</v>
      </c>
      <c r="F18" s="27"/>
      <c r="G18" s="27">
        <f>ROUND(М[[#This Row],[Количество]]*М[[#This Row],[Цена за ед., руб]],2)</f>
        <v>0</v>
      </c>
      <c r="H18" s="26"/>
      <c r="I18" s="32" t="s">
        <v>110</v>
      </c>
    </row>
    <row r="19" spans="1:9" ht="11.1" customHeight="1" x14ac:dyDescent="0.2">
      <c r="A19" s="68" t="s">
        <v>57</v>
      </c>
      <c r="B19" s="26"/>
      <c r="C19" s="26" t="s">
        <v>60</v>
      </c>
      <c r="D19" s="24" t="s">
        <v>24</v>
      </c>
      <c r="E19" s="25">
        <v>327.58</v>
      </c>
      <c r="F19" s="27"/>
      <c r="G19" s="27">
        <f>ROUND(М[[#This Row],[Количество]]*М[[#This Row],[Цена за ед., руб]],2)</f>
        <v>0</v>
      </c>
      <c r="H19" s="26"/>
      <c r="I19" s="32" t="s">
        <v>110</v>
      </c>
    </row>
    <row r="20" spans="1:9" ht="11.1" customHeight="1" x14ac:dyDescent="0.2">
      <c r="A20" s="68" t="s">
        <v>62</v>
      </c>
      <c r="B20" s="26"/>
      <c r="C20" s="26" t="s">
        <v>63</v>
      </c>
      <c r="D20" s="24" t="s">
        <v>24</v>
      </c>
      <c r="E20" s="25">
        <v>10.32</v>
      </c>
      <c r="F20" s="27"/>
      <c r="G20" s="27">
        <f>ROUND(М[[#This Row],[Количество]]*М[[#This Row],[Цена за ед., руб]],2)</f>
        <v>0</v>
      </c>
      <c r="H20" s="26" t="s">
        <v>64</v>
      </c>
      <c r="I20" s="32" t="s">
        <v>110</v>
      </c>
    </row>
    <row r="21" spans="1:9" ht="23.1" customHeight="1" x14ac:dyDescent="0.2">
      <c r="A21" s="68" t="s">
        <v>62</v>
      </c>
      <c r="B21" s="26"/>
      <c r="C21" s="26" t="s">
        <v>73</v>
      </c>
      <c r="D21" s="24" t="s">
        <v>24</v>
      </c>
      <c r="E21" s="25">
        <v>129.47999999999999</v>
      </c>
      <c r="F21" s="27"/>
      <c r="G21" s="27">
        <f>ROUND(М[[#This Row],[Количество]]*М[[#This Row],[Цена за ед., руб]],2)</f>
        <v>0</v>
      </c>
      <c r="H21" s="26" t="s">
        <v>74</v>
      </c>
      <c r="I21" s="32" t="s">
        <v>110</v>
      </c>
    </row>
    <row r="22" spans="1:9" ht="23.1" customHeight="1" x14ac:dyDescent="0.2">
      <c r="A22" s="68" t="s">
        <v>62</v>
      </c>
      <c r="B22" s="26"/>
      <c r="C22" s="26" t="s">
        <v>73</v>
      </c>
      <c r="D22" s="24" t="s">
        <v>24</v>
      </c>
      <c r="E22" s="30">
        <v>27.3</v>
      </c>
      <c r="F22" s="27"/>
      <c r="G22" s="27">
        <f>ROUND(М[[#This Row],[Количество]]*М[[#This Row],[Цена за ед., руб]],2)</f>
        <v>0</v>
      </c>
      <c r="H22" s="26" t="s">
        <v>78</v>
      </c>
      <c r="I22" s="32" t="s">
        <v>110</v>
      </c>
    </row>
    <row r="23" spans="1:9" ht="11.1" customHeight="1" x14ac:dyDescent="0.2">
      <c r="A23" s="69" t="s">
        <v>66</v>
      </c>
      <c r="B23" s="43"/>
      <c r="C23" s="43" t="s">
        <v>67</v>
      </c>
      <c r="D23" s="36" t="s">
        <v>24</v>
      </c>
      <c r="E23" s="44">
        <v>386.97</v>
      </c>
      <c r="F23" s="27"/>
      <c r="G23" s="41">
        <f>ROUND(М[[#This Row],[Количество]]*М[[#This Row],[Цена за ед., руб]],2)</f>
        <v>0</v>
      </c>
      <c r="H23" s="43"/>
      <c r="I23" s="39" t="s">
        <v>110</v>
      </c>
    </row>
    <row r="24" spans="1:9" ht="11.45" customHeight="1" x14ac:dyDescent="0.2">
      <c r="A24" s="69" t="s">
        <v>117</v>
      </c>
      <c r="B24" s="43"/>
      <c r="C24" s="43"/>
      <c r="D24" s="36"/>
      <c r="E24" s="38"/>
      <c r="F24" s="41" t="s">
        <v>119</v>
      </c>
      <c r="G24" s="41">
        <f>SUBTOTAL(109,М[Сумма, руб])</f>
        <v>0</v>
      </c>
      <c r="H24" s="43"/>
      <c r="I24" s="39"/>
    </row>
    <row r="25" spans="1:9" ht="11.45" customHeight="1" x14ac:dyDescent="0.2">
      <c r="F25" s="70" t="s">
        <v>120</v>
      </c>
      <c r="G25" s="71">
        <f>М[[#Totals],[Сумма, руб]]-ЛСР!K117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23" xr:uid="{3373F0B7-5589-47E2-A8CF-FE6A23CBB7BE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111</v>
      </c>
      <c r="B1" s="1" t="s">
        <v>112</v>
      </c>
    </row>
    <row r="2" spans="1:2" ht="11.1" customHeight="1" x14ac:dyDescent="0.2">
      <c r="A2" s="1" t="s">
        <v>113</v>
      </c>
      <c r="B2" s="1" t="s">
        <v>114</v>
      </c>
    </row>
    <row r="3" spans="1:2" ht="11.1" customHeight="1" x14ac:dyDescent="0.2">
      <c r="A3" s="1" t="s">
        <v>115</v>
      </c>
      <c r="B3" s="1" t="s">
        <v>116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2026-05-08T08:41:39Z</dcterms:modified>
</cp:coreProperties>
</file>