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I:\_Сметный отдел\2. ТЕНДЕРЫ\ЖК Прео\ПРЕО 8\09. Отделка\09.01. Черновая отделка полов\"/>
    </mc:Choice>
  </mc:AlternateContent>
  <xr:revisionPtr revIDLastSave="0" documentId="13_ncr:1_{9A6BA03D-490B-4CA6-802E-FAB0D7EDE710}" xr6:coauthVersionLast="47" xr6:coauthVersionMax="47" xr10:uidLastSave="{00000000-0000-0000-0000-000000000000}"/>
  <bookViews>
    <workbookView xWindow="-120" yWindow="-120" windowWidth="38640" windowHeight="21240" xr2:uid="{00000000-000D-0000-FFFF-FFFF00000000}"/>
  </bookViews>
  <sheets>
    <sheet name="ЛСР" sheetId="1" r:id="rId1"/>
    <sheet name="Работы" sheetId="2" r:id="rId2"/>
    <sheet name="Материалы" sheetId="3" r:id="rId3"/>
    <sheet name="ПараметрыЗагрузки" sheetId="4" state="veryHidden" r:id="rId4"/>
  </sheets>
  <definedNames>
    <definedName name="_xlnm._FilterDatabase" localSheetId="0" hidden="1">ЛСР!$A$6:$M$98</definedName>
  </definedNames>
  <calcPr calcId="191029" refMode="R1C1"/>
</workbook>
</file>

<file path=xl/calcChain.xml><?xml version="1.0" encoding="utf-8"?>
<calcChain xmlns="http://schemas.openxmlformats.org/spreadsheetml/2006/main">
  <c r="J93" i="1" l="1"/>
  <c r="J92" i="1"/>
  <c r="J91" i="1"/>
  <c r="J90" i="1"/>
  <c r="J84" i="1"/>
  <c r="J83" i="1"/>
  <c r="J82" i="1"/>
  <c r="J81" i="1"/>
  <c r="J80" i="1"/>
  <c r="J76" i="1"/>
  <c r="J75" i="1"/>
  <c r="J74" i="1"/>
  <c r="J68" i="1"/>
  <c r="J67" i="1"/>
  <c r="J66" i="1"/>
  <c r="J65" i="1"/>
  <c r="J64" i="1"/>
  <c r="J63" i="1"/>
  <c r="J62" i="1"/>
  <c r="J58" i="1"/>
  <c r="J57" i="1"/>
  <c r="J56" i="1"/>
  <c r="J55" i="1"/>
  <c r="J54" i="1"/>
  <c r="J53" i="1"/>
  <c r="J52" i="1"/>
  <c r="J51" i="1"/>
  <c r="J47" i="1"/>
  <c r="J46" i="1"/>
  <c r="J45" i="1"/>
  <c r="J44" i="1"/>
  <c r="J43" i="1"/>
  <c r="J42" i="1"/>
  <c r="J41" i="1"/>
  <c r="J37" i="1"/>
  <c r="J36" i="1"/>
  <c r="J35" i="1"/>
  <c r="J34" i="1"/>
  <c r="J33" i="1"/>
  <c r="J32" i="1"/>
  <c r="J31" i="1"/>
  <c r="J30" i="1"/>
  <c r="J26" i="1"/>
  <c r="J22" i="1"/>
  <c r="J21" i="1"/>
  <c r="J16" i="1"/>
  <c r="J17" i="1"/>
  <c r="J15" i="1"/>
  <c r="H8" i="3"/>
  <c r="C8" i="3"/>
  <c r="B8" i="3"/>
  <c r="I4" i="3"/>
  <c r="I5" i="3"/>
  <c r="I6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H5" i="3"/>
  <c r="H6" i="3"/>
  <c r="H7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4" i="3"/>
  <c r="C4" i="3"/>
  <c r="C5" i="3"/>
  <c r="C6" i="3"/>
  <c r="C7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B4" i="3"/>
  <c r="B5" i="3"/>
  <c r="B6" i="3"/>
  <c r="B7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H53" i="1" l="1"/>
  <c r="G53" i="1"/>
  <c r="I53" i="1" s="1"/>
  <c r="G21" i="1"/>
  <c r="H21" i="1"/>
  <c r="H75" i="1"/>
  <c r="G75" i="1"/>
  <c r="I21" i="1" l="1"/>
  <c r="E7" i="3" s="1"/>
  <c r="G7" i="3" s="1"/>
  <c r="I17" i="1"/>
  <c r="I16" i="1"/>
  <c r="E5" i="3" s="1"/>
  <c r="G5" i="3" s="1"/>
  <c r="I15" i="1"/>
  <c r="E4" i="3" s="1"/>
  <c r="I13" i="1"/>
  <c r="J13" i="1" a="1"/>
  <c r="J13" i="1" s="1"/>
  <c r="I19" i="1"/>
  <c r="J19" i="1" a="1"/>
  <c r="J19" i="1" s="1"/>
  <c r="I22" i="1"/>
  <c r="I24" i="1"/>
  <c r="J24" i="1" a="1"/>
  <c r="J24" i="1" s="1"/>
  <c r="K24" i="1" s="1"/>
  <c r="K23" i="1" s="1"/>
  <c r="I26" i="1"/>
  <c r="E9" i="3" s="1"/>
  <c r="G9" i="3" s="1"/>
  <c r="I28" i="1"/>
  <c r="J28" i="1" a="1"/>
  <c r="J28" i="1" s="1"/>
  <c r="I30" i="1"/>
  <c r="I31" i="1"/>
  <c r="E11" i="3" s="1"/>
  <c r="G11" i="3" s="1"/>
  <c r="I32" i="1"/>
  <c r="E12" i="3" s="1"/>
  <c r="G12" i="3" s="1"/>
  <c r="I33" i="1"/>
  <c r="E13" i="3" s="1"/>
  <c r="G13" i="3" s="1"/>
  <c r="I34" i="1"/>
  <c r="I35" i="1"/>
  <c r="E15" i="3" s="1"/>
  <c r="G15" i="3" s="1"/>
  <c r="I36" i="1"/>
  <c r="I37" i="1"/>
  <c r="E17" i="3" s="1"/>
  <c r="G17" i="3" s="1"/>
  <c r="I39" i="1"/>
  <c r="J39" i="1" a="1"/>
  <c r="J39" i="1" s="1"/>
  <c r="I41" i="1"/>
  <c r="I42" i="1"/>
  <c r="I43" i="1"/>
  <c r="I44" i="1"/>
  <c r="I45" i="1"/>
  <c r="I46" i="1"/>
  <c r="I47" i="1"/>
  <c r="I49" i="1"/>
  <c r="J49" i="1" a="1"/>
  <c r="J49" i="1" s="1"/>
  <c r="I51" i="1"/>
  <c r="I52" i="1"/>
  <c r="E19" i="3" s="1"/>
  <c r="G19" i="3" s="1"/>
  <c r="I54" i="1"/>
  <c r="I55" i="1"/>
  <c r="I56" i="1"/>
  <c r="I57" i="1"/>
  <c r="I58" i="1"/>
  <c r="I60" i="1"/>
  <c r="J60" i="1" a="1"/>
  <c r="J60" i="1" s="1"/>
  <c r="I62" i="1"/>
  <c r="I63" i="1"/>
  <c r="E20" i="3" s="1"/>
  <c r="G20" i="3" s="1"/>
  <c r="I64" i="1"/>
  <c r="I65" i="1"/>
  <c r="I66" i="1"/>
  <c r="I67" i="1"/>
  <c r="I68" i="1"/>
  <c r="I72" i="1"/>
  <c r="J72" i="1" a="1"/>
  <c r="J72" i="1" s="1"/>
  <c r="I74" i="1"/>
  <c r="E21" i="3" s="1"/>
  <c r="G21" i="3" s="1"/>
  <c r="I75" i="1"/>
  <c r="E22" i="3" s="1"/>
  <c r="G22" i="3" s="1"/>
  <c r="I76" i="1"/>
  <c r="I78" i="1"/>
  <c r="J78" i="1" a="1"/>
  <c r="J78" i="1" s="1"/>
  <c r="I80" i="1"/>
  <c r="I81" i="1"/>
  <c r="E23" i="3" s="1"/>
  <c r="G23" i="3" s="1"/>
  <c r="I82" i="1"/>
  <c r="I83" i="1"/>
  <c r="I84" i="1"/>
  <c r="I88" i="1"/>
  <c r="J88" i="1" a="1"/>
  <c r="J88" i="1" s="1"/>
  <c r="I90" i="1"/>
  <c r="E24" i="3" s="1"/>
  <c r="G24" i="3" s="1"/>
  <c r="I91" i="1"/>
  <c r="E25" i="3" s="1"/>
  <c r="G25" i="3" s="1"/>
  <c r="I92" i="1"/>
  <c r="E26" i="3" s="1"/>
  <c r="G26" i="3" s="1"/>
  <c r="I93" i="1"/>
  <c r="E27" i="3" s="1"/>
  <c r="G27" i="3" s="1"/>
  <c r="G4" i="3"/>
  <c r="E13" i="2"/>
  <c r="E12" i="2"/>
  <c r="E11" i="2"/>
  <c r="E10" i="2"/>
  <c r="E9" i="2"/>
  <c r="E8" i="2"/>
  <c r="E7" i="2"/>
  <c r="E6" i="2"/>
  <c r="E5" i="2"/>
  <c r="E4" i="2"/>
  <c r="E10" i="3" l="1"/>
  <c r="G10" i="3" s="1"/>
  <c r="E18" i="3"/>
  <c r="G18" i="3" s="1"/>
  <c r="E8" i="3"/>
  <c r="G8" i="3" s="1"/>
  <c r="E16" i="3"/>
  <c r="G16" i="3" s="1"/>
  <c r="E14" i="3"/>
  <c r="G14" i="3" s="1"/>
  <c r="E6" i="3"/>
  <c r="G6" i="3" s="1"/>
  <c r="E14" i="2"/>
  <c r="K78" i="1"/>
  <c r="K77" i="1" s="1"/>
  <c r="K72" i="1"/>
  <c r="K71" i="1" s="1"/>
  <c r="K39" i="1"/>
  <c r="K38" i="1" s="1"/>
  <c r="K60" i="1"/>
  <c r="K59" i="1" s="1"/>
  <c r="K49" i="1"/>
  <c r="K48" i="1" s="1"/>
  <c r="K28" i="1"/>
  <c r="K27" i="1" s="1"/>
  <c r="K19" i="1"/>
  <c r="K18" i="1" s="1"/>
  <c r="K88" i="1"/>
  <c r="K87" i="1" s="1"/>
  <c r="K13" i="1"/>
  <c r="K12" i="1" s="1"/>
  <c r="G28" i="3" l="1"/>
  <c r="K96" i="1"/>
  <c r="E15" i="2" s="1"/>
  <c r="K22" i="1"/>
  <c r="K57" i="1"/>
  <c r="K26" i="1"/>
  <c r="K25" i="1" s="1"/>
  <c r="K45" i="1"/>
  <c r="K64" i="1"/>
  <c r="K17" i="1"/>
  <c r="K46" i="1"/>
  <c r="K62" i="1"/>
  <c r="K43" i="1"/>
  <c r="K44" i="1"/>
  <c r="K42" i="1"/>
  <c r="K84" i="1"/>
  <c r="K91" i="1"/>
  <c r="K92" i="1"/>
  <c r="K83" i="1"/>
  <c r="K15" i="1"/>
  <c r="K68" i="1"/>
  <c r="K67" i="1"/>
  <c r="K21" i="1"/>
  <c r="K32" i="1"/>
  <c r="K76" i="1"/>
  <c r="K54" i="1"/>
  <c r="K75" i="1"/>
  <c r="K93" i="1"/>
  <c r="K52" i="1"/>
  <c r="K31" i="1"/>
  <c r="K36" i="1"/>
  <c r="K63" i="1"/>
  <c r="K56" i="1"/>
  <c r="K81" i="1"/>
  <c r="K58" i="1"/>
  <c r="K35" i="1"/>
  <c r="K82" i="1"/>
  <c r="K37" i="1"/>
  <c r="K55" i="1"/>
  <c r="K34" i="1"/>
  <c r="K51" i="1"/>
  <c r="K65" i="1"/>
  <c r="K80" i="1"/>
  <c r="K90" i="1"/>
  <c r="K53" i="1"/>
  <c r="K66" i="1"/>
  <c r="K41" i="1"/>
  <c r="K33" i="1"/>
  <c r="K74" i="1"/>
  <c r="K73" i="1" s="1"/>
  <c r="K47" i="1"/>
  <c r="K30" i="1"/>
  <c r="K16" i="1"/>
  <c r="K20" i="1" l="1"/>
  <c r="K40" i="1"/>
  <c r="K89" i="1"/>
  <c r="K29" i="1"/>
  <c r="K61" i="1"/>
  <c r="K79" i="1"/>
  <c r="K70" i="1" s="1"/>
  <c r="K69" i="1" s="1"/>
  <c r="K50" i="1"/>
  <c r="K14" i="1"/>
  <c r="K97" i="1"/>
  <c r="G29" i="3" s="1"/>
  <c r="K86" i="1"/>
  <c r="K85" i="1" s="1"/>
  <c r="K11" i="1" l="1"/>
  <c r="K10" i="1" s="1"/>
  <c r="K9" i="1" s="1"/>
  <c r="K94" i="1" s="1"/>
</calcChain>
</file>

<file path=xl/sharedStrings.xml><?xml version="1.0" encoding="utf-8"?>
<sst xmlns="http://schemas.openxmlformats.org/spreadsheetml/2006/main" count="426" uniqueCount="154">
  <si>
    <t>Объект: «Жилой район «Преображенский» в г. Тюмени. Квартал 8. Участок 72:17:1313004:1005. Многоэтажный жилой дом с нежилыми помещениями ГП-72.214» Секция 1, 2</t>
  </si>
  <si>
    <t>Ведомость объемов работ и расхода материалов по работе: Черновая отделка полов и сопутствующим работам (согласно проекту шифр АР, стадия Р)</t>
  </si>
  <si>
    <t>№</t>
  </si>
  <si>
    <t>Наименование</t>
  </si>
  <si>
    <t>Артикул, марка, производитель</t>
  </si>
  <si>
    <t>Характеристика</t>
  </si>
  <si>
    <t>Ед. изм.</t>
  </si>
  <si>
    <t>Норма расхода</t>
  </si>
  <si>
    <t>Секция 1</t>
  </si>
  <si>
    <t>Секция 2</t>
  </si>
  <si>
    <t>Количество</t>
  </si>
  <si>
    <t>Цена за ед., руб</t>
  </si>
  <si>
    <t>Сумма, руб</t>
  </si>
  <si>
    <t>Примечание</t>
  </si>
  <si>
    <t>Форма закупа материала</t>
  </si>
  <si>
    <t>09</t>
  </si>
  <si>
    <t>Внутренняя отделка</t>
  </si>
  <si>
    <t>09.01</t>
  </si>
  <si>
    <t>Черновая отделка полов</t>
  </si>
  <si>
    <t>09.01.01</t>
  </si>
  <si>
    <t>Устройство стяжки в квартирах и МОП</t>
  </si>
  <si>
    <t>09.01.01.00</t>
  </si>
  <si>
    <t>Работы:</t>
  </si>
  <si>
    <t>Заделка тех. отверстий</t>
  </si>
  <si>
    <t>м3</t>
  </si>
  <si>
    <t>Материалы:</t>
  </si>
  <si>
    <t>1</t>
  </si>
  <si>
    <t>Арматура</t>
  </si>
  <si>
    <t>А500С Ø8 ГОСТ 34028-2016</t>
  </si>
  <si>
    <t>т</t>
  </si>
  <si>
    <t>2</t>
  </si>
  <si>
    <t>БСТ B20</t>
  </si>
  <si>
    <t>3</t>
  </si>
  <si>
    <t>кладочная сварная Вр-1 50х50х2</t>
  </si>
  <si>
    <t>м2</t>
  </si>
  <si>
    <t>Изоляция для стяжки</t>
  </si>
  <si>
    <t>С заведением на стены 300 мм за 2 раза</t>
  </si>
  <si>
    <t>120х70мм</t>
  </si>
  <si>
    <t>пог. м</t>
  </si>
  <si>
    <t>CR 65 Waterproof, Ceresit</t>
  </si>
  <si>
    <t>обмазочная цементная</t>
  </si>
  <si>
    <t>кг</t>
  </si>
  <si>
    <t>Устройство сетки</t>
  </si>
  <si>
    <t>ЦПВС оцинк. 20х0,7х0,3</t>
  </si>
  <si>
    <t>Устройство стяжки - тип 1</t>
  </si>
  <si>
    <t>Тип 1 - вспененный полиэтилен + стяжка + краевая изоляция. Помещения квартир: коридоры, кухни, комнаты, прихожие, лоджии (теплые) типовой этаж - 80 мм</t>
  </si>
  <si>
    <t>армированная ТПЛ 48мм</t>
  </si>
  <si>
    <t>м</t>
  </si>
  <si>
    <t>ПЦ-400 Д20</t>
  </si>
  <si>
    <t>среднезернистый МК 1,7-2,0; ГЧ до 3%</t>
  </si>
  <si>
    <t>4</t>
  </si>
  <si>
    <t>химически сшитый 10мм</t>
  </si>
  <si>
    <t>5</t>
  </si>
  <si>
    <t>акриловый</t>
  </si>
  <si>
    <t>туб.</t>
  </si>
  <si>
    <t>Стиз В, туба - 600 мл - наносится внутри квартиры у оконного блока открытого балкона</t>
  </si>
  <si>
    <t>6</t>
  </si>
  <si>
    <t>полипропиленовое 12мм</t>
  </si>
  <si>
    <t>7</t>
  </si>
  <si>
    <t>8х100мм 20м</t>
  </si>
  <si>
    <t>шт</t>
  </si>
  <si>
    <t>8</t>
  </si>
  <si>
    <t>противоморозный</t>
  </si>
  <si>
    <t>л (дм3)</t>
  </si>
  <si>
    <t>Устройство стяжки - тип 2</t>
  </si>
  <si>
    <t>Тип 2 - теплоизоляция + стяжка + краевая изоляция. Вестибюль, колясочная, тамбур - 60 мм, лифтовой тамбур - 50 мм, нежелые помещения, помещения квартир: коридоры,  кухни, комнаты, прихожие - 80 мм</t>
  </si>
  <si>
    <t>экструзионный 50мм 30 кг/м3</t>
  </si>
  <si>
    <t>Устройство стяжки - тип 3</t>
  </si>
  <si>
    <t>Тип 3 - теплоизоляция + обмазоч. изоляция за 2 раза с завед-ем на стены 300 мм/500 мм (по сеч-ю У-У) + стяжка. КУИ, сан.узлы (неж-е пом.1 эт.)-65 мм, сан.узлы (кв.1эт.), хол-е лоджии по сеч-ю У-У-80мм</t>
  </si>
  <si>
    <t>экструзионный 100мм 30 кг/м3</t>
  </si>
  <si>
    <t>Устройство стяжки - тип 4</t>
  </si>
  <si>
    <t>Тип 4 -  грунтовка + стяжка + краевая изоляция. Лестничная клетка - 60 мм, лифтовой тамбур, коридор типового этажа - 80 мм, электрощитовая, помещение связи - 135 мм, насосная, ИТП - 75 мм</t>
  </si>
  <si>
    <t>акриловая глуб. проникновения пр. плесени</t>
  </si>
  <si>
    <t>09.01.02</t>
  </si>
  <si>
    <t>Устройство стяжки на балконах</t>
  </si>
  <si>
    <t>09.01.02.00</t>
  </si>
  <si>
    <t>Изоляция для стяжки на открытых балконах</t>
  </si>
  <si>
    <t>в 1 слой</t>
  </si>
  <si>
    <t>оклеечная</t>
  </si>
  <si>
    <t>Технониколь Master</t>
  </si>
  <si>
    <t>битумный</t>
  </si>
  <si>
    <t>Технониколь</t>
  </si>
  <si>
    <t>Стиз А, туба - 600 мл</t>
  </si>
  <si>
    <t>Устройство стяжки на открытых балконах</t>
  </si>
  <si>
    <t>акриловая БетонКонтакт</t>
  </si>
  <si>
    <t>09.01.99</t>
  </si>
  <si>
    <t>Прочие работы</t>
  </si>
  <si>
    <t>09.01.99.00</t>
  </si>
  <si>
    <t>Монтаж уголка с огрунтовкой и окраской</t>
  </si>
  <si>
    <t>63х63х5</t>
  </si>
  <si>
    <t>алкидная ГФ-021</t>
  </si>
  <si>
    <t>Э42 Ø4мм</t>
  </si>
  <si>
    <t>по металлу RAL7035</t>
  </si>
  <si>
    <t>ИТОГО по сметному расчету:</t>
  </si>
  <si>
    <t>Всего стоимость работ</t>
  </si>
  <si>
    <t>Всего стоимость материалов</t>
  </si>
  <si>
    <t>Расценки на работы включают:</t>
  </si>
  <si>
    <t>Сводная ведомость объемов работ</t>
  </si>
  <si>
    <t>Сводная ведомость объемов материала</t>
  </si>
  <si>
    <t>Наим.</t>
  </si>
  <si>
    <t>Артикул, марка, произв.</t>
  </si>
  <si>
    <t>Хар-ка</t>
  </si>
  <si>
    <t>Прим.</t>
  </si>
  <si>
    <t>Форма закупа</t>
  </si>
  <si>
    <t>Закупка подрядчик</t>
  </si>
  <si>
    <t>ЛСР</t>
  </si>
  <si>
    <t>ЛСРГуид</t>
  </si>
  <si>
    <t>ГП-72.214.01.09.01 Секция 1_Черновая отделка полов №1</t>
  </si>
  <si>
    <t>9961ea65-1172-11f1-9618-db392af1e994</t>
  </si>
  <si>
    <t>ГП-72.214.02.09.01 Секция 2_Черновая отделка полов №1</t>
  </si>
  <si>
    <t>9f9b2061-1172-11f1-9618-db392af1e994</t>
  </si>
  <si>
    <t>Итог</t>
  </si>
  <si>
    <t>Комплекс работ по устройству стяжки включает:</t>
  </si>
  <si>
    <t xml:space="preserve">Устройство полусухой выравнивающей стяжки, укладка рулонной звукоизоляции по полу, устройство краевой и обмазочной изоляции. Заделка тех. отверстий в плите. Монтаж уголка с огрунтовкой и окраской (ral в соответсвии с проектом или по согласованию с главным архитектором и руководителем проекта). </t>
  </si>
  <si>
    <t>Примечание:</t>
  </si>
  <si>
    <t>При производстве работ учитывать:</t>
  </si>
  <si>
    <t>Стяжка армированная фиброволокном М200</t>
  </si>
  <si>
    <t>В стяжке выполнять - устройство усадочных швов (карты площадью не более 6 м2)</t>
  </si>
  <si>
    <t>При укладке рулонной звукоизоляции  выполнять  проклейку швов строительным скотчем</t>
  </si>
  <si>
    <t>Устройство краевой изоляции выполнять по периметру стен, оборачивать стояки отопления, водоснабжения, канализации, включая стены в дверных проемах.</t>
  </si>
  <si>
    <t>Уборку помещений</t>
  </si>
  <si>
    <t>Обеспыливание, уход за готовой стяжкой с увлажнением и последующим укрытием пленкой на срок не менее 14 дней.</t>
  </si>
  <si>
    <t>Заделтка тех. отверстий в плите</t>
  </si>
  <si>
    <t xml:space="preserve">Стоимость строительно-монтажных работ (СМР) учитывает прямые затраты, накладные расходы, сметную прибыль,затраты на все второстепенные, сопутствующие (расходные) материалы и работы, необходимые для осуществления полного комплекса работ, включая затраты: на мобилизацию, аренду и эксплуатацию всех необходимых механизмов, оборудования и инструментов, бытовых помещений и биотуалетов; выполнение сопутствующих работ; подъем материала;  вывоз мусора; уборка помещений; обеспыливание, уход за готовой стяжкой с увлажнением и последующим укрытием пленкой; налоги и иные издержки Подрядчика. </t>
  </si>
  <si>
    <t>Стоимость материалов учитывает стоимость доставки до объекта строительства</t>
  </si>
  <si>
    <t>В случае, если один из перечисленных прочих материалов не был использован по факту при производстве работ, заказчик вправе откорректировать процент прочих материалов в актах выполненных работ (формы КС-2, КС-3), уменьшив на сумму исключенного материала.</t>
  </si>
  <si>
    <t>В случае изменения системы налогообложения, риски увеличения стоимости договора относятся на сторону, чья система налогообложения изменяется.</t>
  </si>
  <si>
    <t>Локальный сметный расчет (ЛСР) №1</t>
  </si>
  <si>
    <t>Итого:</t>
  </si>
  <si>
    <t>Проверка:</t>
  </si>
  <si>
    <t>Бетон БСТ B20</t>
  </si>
  <si>
    <t>Сетка кладочная сварная Вр-1 50х50х2</t>
  </si>
  <si>
    <t>Лента гидроизоляционная 120х70мм</t>
  </si>
  <si>
    <t>Гидроизоляция обмазочная цементная</t>
  </si>
  <si>
    <t>Сетка ЦПВС оцинк. 20х0,7х0,3</t>
  </si>
  <si>
    <t>Лента клейкая армированная ТПЛ 48мм</t>
  </si>
  <si>
    <t>Цемент ПЦ-400 Д20</t>
  </si>
  <si>
    <t>Песок среднезернистый МК 1,7-2,0; ГЧ до 3%</t>
  </si>
  <si>
    <t>Полиэтилен вспененный химически сшитый 10мм</t>
  </si>
  <si>
    <t>Герметик акриловый</t>
  </si>
  <si>
    <t>Фиброволокно полипропиленовое 12мм</t>
  </si>
  <si>
    <t>Лента кромочная демпферная 8х100мм 20м</t>
  </si>
  <si>
    <t>Пластификатор противоморозный</t>
  </si>
  <si>
    <t>Пенополистирол экструзионный 50мм 30 кг/м3</t>
  </si>
  <si>
    <t>Пенополистирол экструзионный 100мм 30 кг/м3</t>
  </si>
  <si>
    <t>Грунтовка акриловая глуб. проникновения пр. плесени</t>
  </si>
  <si>
    <t>Гидроизоляция оклеечная</t>
  </si>
  <si>
    <t>Праймер битумный</t>
  </si>
  <si>
    <t>Грунтовка акриловая БетонКонтакт</t>
  </si>
  <si>
    <t>Уголок стальной 63х63х5</t>
  </si>
  <si>
    <t>Грунтовка алкидная ГФ-021</t>
  </si>
  <si>
    <t>Электроды Э42 Ø4мм</t>
  </si>
  <si>
    <t>Эмаль по металлу RAL7035</t>
  </si>
  <si>
    <t>в т.ч.НДС%: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</si>
</sst>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0.000"/>
    <numFmt numFmtId="165" formatCode="0.0"/>
    <numFmt numFmtId="166" formatCode="#,##0.0"/>
  </numFmts>
  <fonts count="9" x14ac:knownFonts="1">
    <font>
      <sz val="8"/>
      <name val="Arial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  <font>
      <sz val="8"/>
      <color theme="1"/>
      <name val="Arial"/>
      <family val="2"/>
      <charset val="204"/>
    </font>
    <font>
      <sz val="8"/>
      <name val="Arial"/>
      <family val="2"/>
      <charset val="204"/>
    </font>
    <font>
      <b/>
      <u/>
      <sz val="8"/>
      <color theme="1"/>
      <name val="Arial"/>
      <family val="2"/>
      <charset val="204"/>
    </font>
    <font>
      <b/>
      <sz val="8"/>
      <color theme="1"/>
      <name val="Arial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8EAADB"/>
        <bgColor auto="1"/>
      </patternFill>
    </fill>
    <fill>
      <patternFill patternType="solid">
        <fgColor rgb="FFFF0000"/>
        <bgColor auto="1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6" fillId="0" borderId="0"/>
    <xf numFmtId="43" fontId="6" fillId="0" borderId="0" applyFont="0" applyFill="0" applyBorder="0" applyAlignment="0" applyProtection="0"/>
    <xf numFmtId="0" fontId="1" fillId="0" borderId="0"/>
    <xf numFmtId="0" fontId="6" fillId="0" borderId="0"/>
  </cellStyleXfs>
  <cellXfs count="126">
    <xf numFmtId="0" fontId="0" fillId="0" borderId="0" xfId="0"/>
    <xf numFmtId="0" fontId="0" fillId="0" borderId="0" xfId="0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5" xfId="0" applyFill="1" applyBorder="1" applyAlignment="1">
      <alignment horizontal="right" vertical="center"/>
    </xf>
    <xf numFmtId="0" fontId="0" fillId="3" borderId="5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right" vertical="center"/>
    </xf>
    <xf numFmtId="0" fontId="3" fillId="4" borderId="5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right" vertical="center"/>
    </xf>
    <xf numFmtId="0" fontId="0" fillId="4" borderId="5" xfId="0" applyFill="1" applyBorder="1" applyAlignment="1">
      <alignment horizontal="right" vertical="center"/>
    </xf>
    <xf numFmtId="0" fontId="0" fillId="4" borderId="5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right" vertical="center"/>
    </xf>
    <xf numFmtId="2" fontId="0" fillId="5" borderId="5" xfId="0" applyNumberFormat="1" applyFill="1" applyBorder="1" applyAlignment="1">
      <alignment horizontal="right" vertical="center"/>
    </xf>
    <xf numFmtId="164" fontId="0" fillId="5" borderId="5" xfId="0" applyNumberFormat="1" applyFill="1" applyBorder="1" applyAlignment="1">
      <alignment horizontal="right" vertical="center"/>
    </xf>
    <xf numFmtId="165" fontId="0" fillId="5" borderId="5" xfId="0" applyNumberFormat="1" applyFill="1" applyBorder="1" applyAlignment="1">
      <alignment horizontal="right" vertical="center"/>
    </xf>
    <xf numFmtId="4" fontId="0" fillId="5" borderId="5" xfId="0" applyNumberFormat="1" applyFill="1" applyBorder="1" applyAlignment="1">
      <alignment horizontal="right" vertical="center"/>
    </xf>
    <xf numFmtId="166" fontId="0" fillId="5" borderId="5" xfId="0" applyNumberFormat="1" applyFill="1" applyBorder="1" applyAlignment="1">
      <alignment horizontal="right" vertical="center"/>
    </xf>
    <xf numFmtId="1" fontId="0" fillId="5" borderId="5" xfId="0" applyNumberFormat="1" applyFill="1" applyBorder="1" applyAlignment="1">
      <alignment horizontal="right" vertical="center"/>
    </xf>
    <xf numFmtId="3" fontId="0" fillId="5" borderId="5" xfId="0" applyNumberFormat="1" applyFill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2" fontId="0" fillId="0" borderId="5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4" fontId="0" fillId="0" borderId="5" xfId="0" applyNumberFormat="1" applyBorder="1" applyAlignment="1">
      <alignment horizontal="right" vertical="center"/>
    </xf>
    <xf numFmtId="0" fontId="0" fillId="0" borderId="7" xfId="0" applyBorder="1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 wrapText="1"/>
    </xf>
    <xf numFmtId="0" fontId="0" fillId="0" borderId="2" xfId="0" applyBorder="1" applyAlignment="1">
      <alignment horizontal="center" vertical="center"/>
    </xf>
    <xf numFmtId="165" fontId="0" fillId="0" borderId="2" xfId="0" applyNumberForma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0" fillId="0" borderId="2" xfId="0" applyNumberFormat="1" applyBorder="1" applyAlignment="1">
      <alignment horizontal="right" vertical="center"/>
    </xf>
    <xf numFmtId="0" fontId="3" fillId="0" borderId="1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" fontId="0" fillId="2" borderId="5" xfId="0" applyNumberFormat="1" applyFill="1" applyBorder="1" applyAlignment="1">
      <alignment horizontal="right" vertical="center"/>
    </xf>
    <xf numFmtId="4" fontId="0" fillId="3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center" vertical="center"/>
    </xf>
    <xf numFmtId="4" fontId="3" fillId="4" borderId="0" xfId="0" applyNumberFormat="1" applyFont="1" applyFill="1" applyAlignment="1">
      <alignment horizontal="right" vertical="center"/>
    </xf>
    <xf numFmtId="4" fontId="3" fillId="6" borderId="5" xfId="0" applyNumberFormat="1" applyFont="1" applyFill="1" applyBorder="1" applyAlignment="1">
      <alignment horizontal="right" vertical="center"/>
    </xf>
    <xf numFmtId="164" fontId="6" fillId="5" borderId="5" xfId="0" applyNumberFormat="1" applyFont="1" applyFill="1" applyBorder="1" applyAlignment="1">
      <alignment horizontal="right" vertical="center"/>
    </xf>
    <xf numFmtId="0" fontId="6" fillId="0" borderId="0" xfId="1" applyAlignment="1">
      <alignment vertical="center"/>
    </xf>
    <xf numFmtId="0" fontId="5" fillId="0" borderId="0" xfId="1" applyFont="1" applyAlignment="1">
      <alignment horizontal="center" vertical="center" wrapText="1"/>
    </xf>
    <xf numFmtId="4" fontId="5" fillId="0" borderId="0" xfId="1" applyNumberFormat="1" applyFont="1" applyAlignment="1">
      <alignment horizontal="center" vertical="center"/>
    </xf>
    <xf numFmtId="4" fontId="8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left" vertical="center" wrapText="1"/>
    </xf>
    <xf numFmtId="0" fontId="5" fillId="0" borderId="0" xfId="1" applyFont="1" applyAlignment="1">
      <alignment horizontal="center" vertical="center"/>
    </xf>
    <xf numFmtId="43" fontId="5" fillId="0" borderId="0" xfId="2" applyFont="1" applyAlignment="1">
      <alignment horizontal="center" vertical="center" wrapText="1"/>
    </xf>
    <xf numFmtId="43" fontId="5" fillId="0" borderId="0" xfId="2" applyFont="1" applyAlignment="1">
      <alignment horizontal="center" vertical="center"/>
    </xf>
    <xf numFmtId="2" fontId="5" fillId="0" borderId="0" xfId="2" applyNumberFormat="1" applyFont="1" applyAlignment="1">
      <alignment horizontal="center" vertical="center"/>
    </xf>
    <xf numFmtId="0" fontId="6" fillId="5" borderId="5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/>
    </xf>
    <xf numFmtId="2" fontId="6" fillId="5" borderId="5" xfId="0" applyNumberFormat="1" applyFont="1" applyFill="1" applyBorder="1" applyAlignment="1">
      <alignment horizontal="right" vertical="center"/>
    </xf>
    <xf numFmtId="4" fontId="6" fillId="5" borderId="5" xfId="0" applyNumberFormat="1" applyFont="1" applyFill="1" applyBorder="1" applyAlignment="1">
      <alignment horizontal="right"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left" vertical="center"/>
    </xf>
    <xf numFmtId="43" fontId="5" fillId="0" borderId="0" xfId="2" applyFont="1" applyAlignment="1">
      <alignment horizontal="left" vertical="center"/>
    </xf>
    <xf numFmtId="2" fontId="5" fillId="0" borderId="0" xfId="2" applyNumberFormat="1" applyFont="1" applyAlignment="1">
      <alignment horizontal="left" vertical="center"/>
    </xf>
    <xf numFmtId="0" fontId="6" fillId="0" borderId="0" xfId="1" applyAlignment="1">
      <alignment horizontal="center" vertical="center" wrapText="1"/>
    </xf>
    <xf numFmtId="0" fontId="6" fillId="0" borderId="0" xfId="1" applyAlignment="1">
      <alignment horizontal="center" vertical="center"/>
    </xf>
    <xf numFmtId="0" fontId="6" fillId="0" borderId="0" xfId="3" applyFont="1" applyAlignment="1">
      <alignment horizontal="center" vertical="center" wrapText="1"/>
    </xf>
    <xf numFmtId="0" fontId="7" fillId="0" borderId="0" xfId="1" applyFont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2" borderId="5" xfId="0" applyFill="1" applyBorder="1" applyAlignment="1">
      <alignment horizontal="left" vertical="center" wrapText="1"/>
    </xf>
    <xf numFmtId="0" fontId="0" fillId="3" borderId="5" xfId="0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vertical="center" wrapText="1"/>
    </xf>
    <xf numFmtId="0" fontId="0" fillId="4" borderId="5" xfId="0" applyFill="1" applyBorder="1" applyAlignment="1">
      <alignment horizontal="left" vertical="center"/>
    </xf>
    <xf numFmtId="0" fontId="0" fillId="5" borderId="5" xfId="0" applyFill="1" applyBorder="1" applyAlignment="1">
      <alignment horizontal="left" vertical="center" wrapText="1"/>
    </xf>
    <xf numFmtId="2" fontId="0" fillId="0" borderId="0" xfId="0" applyNumberFormat="1" applyAlignment="1">
      <alignment vertical="center"/>
    </xf>
    <xf numFmtId="0" fontId="6" fillId="5" borderId="5" xfId="0" applyFont="1" applyFill="1" applyBorder="1" applyAlignment="1">
      <alignment horizontal="left" vertical="center" wrapText="1"/>
    </xf>
    <xf numFmtId="0" fontId="6" fillId="0" borderId="0" xfId="0" applyFont="1" applyAlignment="1">
      <alignment vertical="center"/>
    </xf>
    <xf numFmtId="164" fontId="0" fillId="0" borderId="0" xfId="0" applyNumberFormat="1" applyAlignment="1">
      <alignment vertical="center"/>
    </xf>
    <xf numFmtId="0" fontId="0" fillId="6" borderId="5" xfId="0" applyFill="1" applyBorder="1" applyAlignment="1">
      <alignment horizontal="left" vertical="center"/>
    </xf>
    <xf numFmtId="0" fontId="0" fillId="6" borderId="6" xfId="0" applyFill="1" applyBorder="1" applyAlignment="1">
      <alignment horizontal="left" vertical="center"/>
    </xf>
    <xf numFmtId="0" fontId="3" fillId="6" borderId="7" xfId="0" applyFont="1" applyFill="1" applyBorder="1" applyAlignment="1">
      <alignment horizontal="right" vertical="center"/>
    </xf>
    <xf numFmtId="0" fontId="0" fillId="6" borderId="5" xfId="0" applyFill="1" applyBorder="1" applyAlignment="1">
      <alignment horizontal="right" vertical="center"/>
    </xf>
    <xf numFmtId="0" fontId="4" fillId="6" borderId="7" xfId="0" applyFont="1" applyFill="1" applyBorder="1" applyAlignment="1">
      <alignment horizontal="right" vertical="center"/>
    </xf>
    <xf numFmtId="0" fontId="0" fillId="7" borderId="5" xfId="0" applyFill="1" applyBorder="1" applyAlignment="1">
      <alignment horizontal="left" vertical="center"/>
    </xf>
    <xf numFmtId="165" fontId="6" fillId="5" borderId="5" xfId="0" applyNumberFormat="1" applyFont="1" applyFill="1" applyBorder="1" applyAlignment="1">
      <alignment horizontal="right" vertical="center"/>
    </xf>
    <xf numFmtId="164" fontId="6" fillId="0" borderId="0" xfId="0" applyNumberFormat="1" applyFont="1" applyAlignment="1">
      <alignment vertical="center"/>
    </xf>
    <xf numFmtId="164" fontId="0" fillId="8" borderId="5" xfId="0" applyNumberFormat="1" applyFill="1" applyBorder="1" applyAlignment="1">
      <alignment horizontal="right" vertical="center"/>
    </xf>
    <xf numFmtId="164" fontId="6" fillId="8" borderId="5" xfId="0" applyNumberFormat="1" applyFont="1" applyFill="1" applyBorder="1" applyAlignment="1">
      <alignment horizontal="right" vertical="center"/>
    </xf>
    <xf numFmtId="4" fontId="6" fillId="0" borderId="2" xfId="0" applyNumberFormat="1" applyFont="1" applyBorder="1" applyAlignment="1">
      <alignment horizontal="right" vertical="center"/>
    </xf>
    <xf numFmtId="0" fontId="6" fillId="0" borderId="0" xfId="0" applyFont="1" applyAlignment="1">
      <alignment horizontal="right"/>
    </xf>
    <xf numFmtId="4" fontId="0" fillId="0" borderId="0" xfId="0" applyNumberFormat="1" applyAlignment="1">
      <alignment horizontal="right"/>
    </xf>
    <xf numFmtId="4" fontId="6" fillId="8" borderId="13" xfId="0" applyNumberFormat="1" applyFont="1" applyFill="1" applyBorder="1" applyAlignment="1">
      <alignment horizontal="right" vertical="center" wrapText="1"/>
    </xf>
    <xf numFmtId="0" fontId="6" fillId="0" borderId="7" xfId="0" applyFont="1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6" fillId="0" borderId="0" xfId="0" applyFont="1" applyAlignment="1">
      <alignment horizontal="right" vertical="center"/>
    </xf>
    <xf numFmtId="4" fontId="0" fillId="0" borderId="0" xfId="0" applyNumberFormat="1" applyAlignment="1">
      <alignment horizontal="right" vertical="center"/>
    </xf>
    <xf numFmtId="0" fontId="3" fillId="6" borderId="9" xfId="0" applyFont="1" applyFill="1" applyBorder="1" applyAlignment="1">
      <alignment horizontal="right" vertical="center"/>
    </xf>
    <xf numFmtId="0" fontId="3" fillId="6" borderId="7" xfId="0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0" xfId="1" applyAlignment="1">
      <alignment horizontal="left" vertical="center" wrapText="1"/>
    </xf>
    <xf numFmtId="0" fontId="6" fillId="0" borderId="0" xfId="3" applyFont="1" applyAlignment="1">
      <alignment horizontal="left" vertical="center" wrapText="1"/>
    </xf>
    <xf numFmtId="0" fontId="5" fillId="0" borderId="0" xfId="1" applyFont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" fontId="3" fillId="6" borderId="7" xfId="0" applyNumberFormat="1" applyFont="1" applyFill="1" applyBorder="1" applyAlignment="1">
      <alignment horizontal="right" vertical="center"/>
    </xf>
    <xf numFmtId="0" fontId="4" fillId="6" borderId="7" xfId="0" applyFont="1" applyFill="1" applyBorder="1" applyAlignment="1">
      <alignment horizontal="right" vertical="center"/>
    </xf>
    <xf numFmtId="4" fontId="4" fillId="6" borderId="7" xfId="0" applyNumberFormat="1" applyFont="1" applyFill="1" applyBorder="1" applyAlignment="1">
      <alignment horizontal="right" vertical="center"/>
    </xf>
    <xf numFmtId="0" fontId="3" fillId="7" borderId="7" xfId="0" applyFont="1" applyFill="1" applyBorder="1" applyAlignment="1">
      <alignment horizontal="center" vertical="center" wrapText="1"/>
    </xf>
    <xf numFmtId="4" fontId="3" fillId="7" borderId="7" xfId="0" applyNumberFormat="1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 wrapText="1"/>
    </xf>
    <xf numFmtId="4" fontId="3" fillId="0" borderId="8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5">
    <cellStyle name="Обычный" xfId="0" builtinId="0"/>
    <cellStyle name="Обычный 2" xfId="4" xr:uid="{DC92CD54-281B-400B-97E8-5F6BF7563F9A}"/>
    <cellStyle name="Обычный 3" xfId="1" xr:uid="{2E2B0C7A-3F1B-4437-A76C-8AE5B0C0CDFC}"/>
    <cellStyle name="Обычный 3 2 2" xfId="3" xr:uid="{85912EF2-5205-4C8D-A10F-952F37A2DC07}"/>
    <cellStyle name="Финансовый 2" xfId="2" xr:uid="{69862559-6FFC-43F6-B97D-465EB6B6AB64}"/>
  </cellStyles>
  <dxfs count="4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charset val="204"/>
        <scheme val="none"/>
      </font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left" vertical="center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center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top style="thin">
          <color rgb="FF000000"/>
        </top>
      </border>
    </dxf>
    <dxf>
      <alignment vertical="center" textRotation="0" indent="0" justifyLastLine="0" shrinkToFit="0" readingOrder="0"/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vertical="center" textRotation="0" indent="0" justifyLastLine="0" shrinkToFit="0" readingOrder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charset val="204"/>
        <scheme val="none"/>
      </font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2" formatCode="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9FA3A39-DF3C-419C-B963-041200B45556}" name="Р" displayName="Р" ref="A3:F14" totalsRowCount="1" headerRowDxfId="41" headerRowBorderDxfId="40" tableBorderDxfId="39" totalsRowBorderDxfId="38">
  <tableColumns count="6">
    <tableColumn id="1" xr3:uid="{2433D524-B01A-4526-9466-5692B8513060}" name="Наименование" totalsRowLabel="Итог" dataDxfId="37" totalsRowDxfId="36"/>
    <tableColumn id="2" xr3:uid="{5D10B3DE-3634-4454-9B3B-50293DF99386}" name="Ед. изм." dataDxfId="35" totalsRowDxfId="34"/>
    <tableColumn id="3" xr3:uid="{75B1F466-1FD2-49ED-B786-B1BF703A2B2D}" name="Количество" dataDxfId="33" totalsRowDxfId="32"/>
    <tableColumn id="4" xr3:uid="{4A76D0A7-7919-445A-A745-5F73BE08A02B}" name="Цена за ед., руб" totalsRowLabel="Итого:" dataDxfId="31" totalsRowDxfId="30"/>
    <tableColumn id="5" xr3:uid="{5E499C06-A70A-42D3-ABE1-7582A41804E3}" name="Сумма, руб" totalsRowFunction="sum" dataDxfId="29" totalsRowDxfId="28">
      <calculatedColumnFormula>ROUND(Р[[#This Row],[Количество]]*Р[[#This Row],[Цена за ед., руб]],2)</calculatedColumnFormula>
    </tableColumn>
    <tableColumn id="6" xr3:uid="{01950A27-A306-4E8B-971F-4803E603C8C0}" name="Примечание" dataDxfId="27" totalsRowDxfId="26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EEBF956-6FD8-480A-8F3B-825403879CC6}" name="М" displayName="М" ref="A3:I28" totalsRowCount="1" headerRowDxfId="25" dataDxfId="23" totalsRowDxfId="21" headerRowBorderDxfId="24" tableBorderDxfId="22" totalsRowBorderDxfId="20">
  <tableColumns count="9">
    <tableColumn id="1" xr3:uid="{6DD55BFC-EAF8-4B3F-B85D-BA1C55A13C0B}" name="Наим." totalsRowLabel="Итог" dataDxfId="19" totalsRowDxfId="18"/>
    <tableColumn id="2" xr3:uid="{6759A3C0-1A5E-421B-9431-F22DC5566CE8}" name="Артикул, марка, произв." dataDxfId="17" totalsRowDxfId="16">
      <calculatedColumnFormula>VLOOKUP(М[[#This Row],[Наим.]],ЛСР!$B$6:$M$93,2,0)</calculatedColumnFormula>
    </tableColumn>
    <tableColumn id="3" xr3:uid="{E4C537FD-ADA5-4B51-B946-047D0DE11293}" name="Хар-ка" dataDxfId="15" totalsRowDxfId="14">
      <calculatedColumnFormula>VLOOKUP(М[[#This Row],[Наим.]],ЛСР!$B$6:$M$93,3,0)</calculatedColumnFormula>
    </tableColumn>
    <tableColumn id="4" xr3:uid="{BC587861-A316-4E04-B060-20F7BC52214D}" name="Ед. изм." dataDxfId="13" totalsRowDxfId="12">
      <calculatedColumnFormula>VLOOKUP(М[[#This Row],[Наим.]],ЛСР!$B$6:$M$93,4,0)</calculatedColumnFormula>
    </tableColumn>
    <tableColumn id="5" xr3:uid="{43C0702B-0A61-431C-A354-CA6D56C85D1F}" name="Количество" dataDxfId="11" totalsRowDxfId="10">
      <calculatedColumnFormula>SUMIF(ЛСР!$B$6:$B$93,$A4,ЛСР!$I$6:$I$93)</calculatedColumnFormula>
    </tableColumn>
    <tableColumn id="6" xr3:uid="{BD1913AD-FEE0-4A96-852C-C7A1725D0309}" name="Цена за ед., руб" totalsRowLabel="Итого:" dataDxfId="9" totalsRowDxfId="8"/>
    <tableColumn id="7" xr3:uid="{01888D6F-9C12-4FB4-8328-039B1F72647C}" name="Сумма, руб" totalsRowFunction="sum" dataDxfId="7" totalsRowDxfId="6">
      <calculatedColumnFormula>ROUND(М[[#This Row],[Количество]]*М[[#This Row],[Цена за ед., руб]],2)</calculatedColumnFormula>
    </tableColumn>
    <tableColumn id="8" xr3:uid="{BF79F322-0284-42A5-A239-462CD3C8ACDA}" name="Прим." dataDxfId="5" totalsRowDxfId="4">
      <calculatedColumnFormula>VLOOKUP(М[[#This Row],[Наим.]],ЛСР!$B$6:$M$93,11,0)</calculatedColumnFormula>
    </tableColumn>
    <tableColumn id="9" xr3:uid="{CB86D8BB-C2DF-4C75-AF00-6BB23983EB14}" name="Форма закупа" dataDxfId="3" totalsRowDxfId="2">
      <calculatedColumnFormula>VLOOKUP(М[[#This Row],[Наим.]],ЛСР!$B$6:$M$93,12,0)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2:R117"/>
  <sheetViews>
    <sheetView tabSelected="1" workbookViewId="0">
      <pane ySplit="7" topLeftCell="A68" activePane="bottomLeft" state="frozen"/>
      <selection pane="bottomLeft" activeCell="B103" sqref="B103:M103"/>
    </sheetView>
  </sheetViews>
  <sheetFormatPr defaultColWidth="10.5" defaultRowHeight="11.25" outlineLevelRow="4" x14ac:dyDescent="0.2"/>
  <cols>
    <col min="1" max="1" width="9.83203125" style="70" customWidth="1"/>
    <col min="2" max="2" width="36" style="70" customWidth="1"/>
    <col min="3" max="3" width="15.83203125" style="70" customWidth="1"/>
    <col min="4" max="4" width="17" style="70" customWidth="1"/>
    <col min="5" max="5" width="10" style="70" customWidth="1"/>
    <col min="6" max="6" width="9.6640625" style="70" customWidth="1"/>
    <col min="7" max="8" width="10.5" style="70" customWidth="1"/>
    <col min="9" max="9" width="14.6640625" style="70" customWidth="1"/>
    <col min="10" max="10" width="16" style="70" customWidth="1"/>
    <col min="11" max="11" width="17" style="70" customWidth="1"/>
    <col min="12" max="12" width="35.6640625" style="70" customWidth="1"/>
    <col min="13" max="13" width="23.33203125" style="70" customWidth="1"/>
    <col min="14" max="16384" width="10.5" style="71"/>
  </cols>
  <sheetData>
    <row r="2" spans="1:15" x14ac:dyDescent="0.2">
      <c r="B2" s="102" t="s">
        <v>127</v>
      </c>
      <c r="C2" s="102"/>
      <c r="D2" s="102"/>
      <c r="E2" s="102"/>
      <c r="F2" s="102"/>
      <c r="G2" s="102"/>
      <c r="H2" s="102"/>
      <c r="I2" s="102"/>
      <c r="J2" s="102"/>
    </row>
    <row r="3" spans="1:15" x14ac:dyDescent="0.2">
      <c r="B3" s="103" t="s">
        <v>0</v>
      </c>
      <c r="C3" s="103"/>
      <c r="D3" s="103"/>
      <c r="E3" s="103"/>
      <c r="F3" s="103"/>
      <c r="G3" s="103"/>
      <c r="H3" s="103"/>
      <c r="I3" s="103"/>
      <c r="J3" s="103"/>
    </row>
    <row r="4" spans="1:15" x14ac:dyDescent="0.2">
      <c r="B4" s="103" t="s">
        <v>1</v>
      </c>
      <c r="C4" s="103"/>
      <c r="D4" s="103"/>
      <c r="E4" s="103"/>
      <c r="F4" s="103"/>
      <c r="G4" s="103"/>
      <c r="H4" s="103"/>
      <c r="I4" s="103"/>
      <c r="J4" s="103"/>
    </row>
    <row r="6" spans="1:15" x14ac:dyDescent="0.2">
      <c r="A6" s="108" t="s">
        <v>2</v>
      </c>
      <c r="B6" s="108" t="s">
        <v>3</v>
      </c>
      <c r="C6" s="113" t="s">
        <v>4</v>
      </c>
      <c r="D6" s="115" t="s">
        <v>5</v>
      </c>
      <c r="E6" s="108" t="s">
        <v>6</v>
      </c>
      <c r="F6" s="104" t="s">
        <v>7</v>
      </c>
      <c r="G6" s="106" t="s">
        <v>8</v>
      </c>
      <c r="H6" s="106" t="s">
        <v>9</v>
      </c>
      <c r="I6" s="108" t="s">
        <v>10</v>
      </c>
      <c r="J6" s="104" t="s">
        <v>11</v>
      </c>
      <c r="K6" s="104" t="s">
        <v>12</v>
      </c>
      <c r="L6" s="108" t="s">
        <v>13</v>
      </c>
      <c r="M6" s="104" t="s">
        <v>14</v>
      </c>
    </row>
    <row r="7" spans="1:15" x14ac:dyDescent="0.2">
      <c r="A7" s="109"/>
      <c r="B7" s="109"/>
      <c r="C7" s="114"/>
      <c r="D7" s="116"/>
      <c r="E7" s="109"/>
      <c r="F7" s="105"/>
      <c r="G7" s="107"/>
      <c r="H7" s="107"/>
      <c r="I7" s="109"/>
      <c r="J7" s="105"/>
      <c r="K7" s="105"/>
      <c r="L7" s="109"/>
      <c r="M7" s="105"/>
    </row>
    <row r="8" spans="1:15" x14ac:dyDescent="0.2">
      <c r="A8" s="4" t="s">
        <v>15</v>
      </c>
      <c r="B8" s="72" t="s">
        <v>16</v>
      </c>
      <c r="C8" s="3"/>
      <c r="D8" s="3"/>
      <c r="E8" s="4"/>
      <c r="F8" s="5"/>
      <c r="G8" s="5"/>
      <c r="H8" s="5"/>
      <c r="I8" s="5"/>
      <c r="J8" s="42"/>
      <c r="K8" s="42"/>
      <c r="L8" s="3"/>
      <c r="M8" s="3"/>
    </row>
    <row r="9" spans="1:15" outlineLevel="1" x14ac:dyDescent="0.2">
      <c r="A9" s="7" t="s">
        <v>17</v>
      </c>
      <c r="B9" s="73" t="s">
        <v>18</v>
      </c>
      <c r="C9" s="6"/>
      <c r="D9" s="6"/>
      <c r="E9" s="7"/>
      <c r="F9" s="8"/>
      <c r="G9" s="8"/>
      <c r="H9" s="8"/>
      <c r="I9" s="8"/>
      <c r="J9" s="43"/>
      <c r="K9" s="43">
        <f>SUM($K$85,$K$69,$K$10)</f>
        <v>0</v>
      </c>
      <c r="L9" s="6"/>
      <c r="M9" s="6"/>
    </row>
    <row r="10" spans="1:15" ht="22.5" outlineLevel="2" x14ac:dyDescent="0.2">
      <c r="A10" s="10" t="s">
        <v>19</v>
      </c>
      <c r="B10" s="74" t="s">
        <v>20</v>
      </c>
      <c r="C10" s="9"/>
      <c r="D10" s="9"/>
      <c r="E10" s="10"/>
      <c r="F10" s="11"/>
      <c r="G10" s="12"/>
      <c r="H10" s="12"/>
      <c r="I10" s="12"/>
      <c r="J10" s="44"/>
      <c r="K10" s="44">
        <f>SUM($K$11)</f>
        <v>0</v>
      </c>
      <c r="L10" s="13"/>
      <c r="M10" s="13"/>
    </row>
    <row r="11" spans="1:15" ht="22.5" outlineLevel="3" x14ac:dyDescent="0.2">
      <c r="A11" s="10" t="s">
        <v>21</v>
      </c>
      <c r="B11" s="74" t="s">
        <v>20</v>
      </c>
      <c r="C11" s="9"/>
      <c r="D11" s="9"/>
      <c r="E11" s="10"/>
      <c r="F11" s="11"/>
      <c r="G11" s="12"/>
      <c r="H11" s="12"/>
      <c r="I11" s="12"/>
      <c r="J11" s="44"/>
      <c r="K11" s="44">
        <f>SUM($K$61,$K$59,$K$50,$K$48,$K$40,$K$38,$K$29,$K$27,$K$25,$K$23,$K$20,$K$18,$K$14,$K$12)</f>
        <v>0</v>
      </c>
      <c r="L11" s="13"/>
      <c r="M11" s="13"/>
    </row>
    <row r="12" spans="1:15" outlineLevel="4" x14ac:dyDescent="0.2">
      <c r="A12" s="75"/>
      <c r="B12" s="74" t="s">
        <v>22</v>
      </c>
      <c r="C12" s="14"/>
      <c r="D12" s="14"/>
      <c r="E12" s="14"/>
      <c r="F12" s="14"/>
      <c r="G12" s="14"/>
      <c r="H12" s="14"/>
      <c r="I12" s="14"/>
      <c r="J12" s="45"/>
      <c r="K12" s="46">
        <f>SUM($K$13)</f>
        <v>0</v>
      </c>
      <c r="L12" s="12"/>
      <c r="M12" s="12"/>
    </row>
    <row r="13" spans="1:15" outlineLevel="4" x14ac:dyDescent="0.2">
      <c r="A13" s="16"/>
      <c r="B13" s="76" t="s">
        <v>23</v>
      </c>
      <c r="C13" s="15"/>
      <c r="D13" s="15"/>
      <c r="E13" s="16" t="s">
        <v>24</v>
      </c>
      <c r="F13" s="17"/>
      <c r="G13" s="18">
        <v>2.11</v>
      </c>
      <c r="H13" s="18">
        <v>3.87</v>
      </c>
      <c r="I13" s="18">
        <f>SUM($G$13:$H$13)</f>
        <v>5.98</v>
      </c>
      <c r="J13" s="21">
        <f t="array" ref="J13">INDEX(Р[Цена за ед., руб],MATCH(1,IF(($B13=Р[Наименование])*($L13=Р[Примечание]),{1},($B13=Р[Наименование])*($L13=Р[Примечание])),0))</f>
        <v>0</v>
      </c>
      <c r="K13" s="21">
        <f>ROUND($I$13*$J$13,2)</f>
        <v>0</v>
      </c>
      <c r="L13" s="15"/>
      <c r="M13" s="15"/>
    </row>
    <row r="14" spans="1:15" outlineLevel="4" x14ac:dyDescent="0.2">
      <c r="A14" s="75"/>
      <c r="B14" s="74" t="s">
        <v>25</v>
      </c>
      <c r="C14" s="14"/>
      <c r="D14" s="14"/>
      <c r="E14" s="14"/>
      <c r="F14" s="14"/>
      <c r="G14" s="14"/>
      <c r="H14" s="14"/>
      <c r="I14" s="14"/>
      <c r="J14" s="45"/>
      <c r="K14" s="46">
        <f>SUM($K$15:$K$17)</f>
        <v>0</v>
      </c>
      <c r="L14" s="12"/>
      <c r="M14" s="12"/>
    </row>
    <row r="15" spans="1:15" ht="22.5" outlineLevel="4" x14ac:dyDescent="0.2">
      <c r="A15" s="16" t="s">
        <v>26</v>
      </c>
      <c r="B15" s="76" t="s">
        <v>27</v>
      </c>
      <c r="C15" s="15"/>
      <c r="D15" s="15" t="s">
        <v>28</v>
      </c>
      <c r="E15" s="16" t="s">
        <v>29</v>
      </c>
      <c r="F15" s="90">
        <v>1.03</v>
      </c>
      <c r="G15" s="19">
        <v>3.9E-2</v>
      </c>
      <c r="H15" s="19">
        <v>6.9000000000000006E-2</v>
      </c>
      <c r="I15" s="19">
        <f>SUM($G$15:$H$15)</f>
        <v>0.10800000000000001</v>
      </c>
      <c r="J15" s="94">
        <f>VLOOKUP(B15,М[],6,0)</f>
        <v>0</v>
      </c>
      <c r="K15" s="21">
        <f>ROUND($I$15*$J$15,2)</f>
        <v>0</v>
      </c>
      <c r="L15" s="15"/>
      <c r="M15" s="15" t="s">
        <v>104</v>
      </c>
      <c r="O15" s="77"/>
    </row>
    <row r="16" spans="1:15" outlineLevel="4" x14ac:dyDescent="0.2">
      <c r="A16" s="16" t="s">
        <v>30</v>
      </c>
      <c r="B16" s="78" t="s">
        <v>130</v>
      </c>
      <c r="C16" s="15"/>
      <c r="D16" s="58" t="s">
        <v>31</v>
      </c>
      <c r="E16" s="16" t="s">
        <v>24</v>
      </c>
      <c r="F16" s="89">
        <v>1.0149999999999999</v>
      </c>
      <c r="G16" s="18">
        <v>2.15</v>
      </c>
      <c r="H16" s="18">
        <v>3.93</v>
      </c>
      <c r="I16" s="18">
        <f>SUM($G$16:$H$16)</f>
        <v>6.08</v>
      </c>
      <c r="J16" s="94">
        <f>VLOOKUP(B16,М[],6,0)</f>
        <v>0</v>
      </c>
      <c r="K16" s="21">
        <f>ROUND($I$16*$J$16,2)</f>
        <v>0</v>
      </c>
      <c r="L16" s="15"/>
      <c r="M16" s="15" t="s">
        <v>104</v>
      </c>
    </row>
    <row r="17" spans="1:18" ht="33.75" outlineLevel="4" x14ac:dyDescent="0.2">
      <c r="A17" s="16" t="s">
        <v>32</v>
      </c>
      <c r="B17" s="78" t="s">
        <v>131</v>
      </c>
      <c r="C17" s="15"/>
      <c r="D17" s="58" t="s">
        <v>33</v>
      </c>
      <c r="E17" s="16" t="s">
        <v>34</v>
      </c>
      <c r="F17" s="89">
        <v>1.1000000000000001</v>
      </c>
      <c r="G17" s="20">
        <v>12.9</v>
      </c>
      <c r="H17" s="18">
        <v>23.65</v>
      </c>
      <c r="I17" s="18">
        <f>SUM($G$17:$H$17)</f>
        <v>36.549999999999997</v>
      </c>
      <c r="J17" s="94">
        <f>VLOOKUP(B17,М[],6,0)</f>
        <v>0</v>
      </c>
      <c r="K17" s="21">
        <f>ROUND($I$17*$J$17,2)</f>
        <v>0</v>
      </c>
      <c r="L17" s="15"/>
      <c r="M17" s="15" t="s">
        <v>104</v>
      </c>
    </row>
    <row r="18" spans="1:18" outlineLevel="4" x14ac:dyDescent="0.2">
      <c r="A18" s="75"/>
      <c r="B18" s="74" t="s">
        <v>22</v>
      </c>
      <c r="C18" s="14"/>
      <c r="D18" s="14"/>
      <c r="E18" s="14"/>
      <c r="F18" s="14"/>
      <c r="G18" s="14"/>
      <c r="H18" s="14"/>
      <c r="I18" s="14"/>
      <c r="J18" s="45"/>
      <c r="K18" s="46">
        <f>SUM($K$19)</f>
        <v>0</v>
      </c>
      <c r="L18" s="12"/>
      <c r="M18" s="12"/>
    </row>
    <row r="19" spans="1:18" ht="22.5" outlineLevel="4" x14ac:dyDescent="0.2">
      <c r="A19" s="16"/>
      <c r="B19" s="76" t="s">
        <v>35</v>
      </c>
      <c r="C19" s="15"/>
      <c r="D19" s="15"/>
      <c r="E19" s="16" t="s">
        <v>34</v>
      </c>
      <c r="F19" s="17"/>
      <c r="G19" s="18">
        <v>930.05</v>
      </c>
      <c r="H19" s="21">
        <v>1644.26</v>
      </c>
      <c r="I19" s="21">
        <f>SUM($G$19:$H$19)</f>
        <v>2574.31</v>
      </c>
      <c r="J19" s="21">
        <f t="array" ref="J19">INDEX(Р[Цена за ед., руб],MATCH(1,IF(($B19=Р[Наименование])*($L19=Р[Примечание]),{1},($B19=Р[Наименование])*($L19=Р[Примечание])),0))</f>
        <v>0</v>
      </c>
      <c r="K19" s="21">
        <f>ROUND($I$19*$J$19,2)</f>
        <v>0</v>
      </c>
      <c r="L19" s="15" t="s">
        <v>36</v>
      </c>
      <c r="M19" s="15"/>
    </row>
    <row r="20" spans="1:18" outlineLevel="4" x14ac:dyDescent="0.2">
      <c r="A20" s="75"/>
      <c r="B20" s="74" t="s">
        <v>25</v>
      </c>
      <c r="C20" s="14"/>
      <c r="D20" s="14"/>
      <c r="E20" s="14"/>
      <c r="F20" s="14"/>
      <c r="G20" s="14"/>
      <c r="H20" s="14"/>
      <c r="I20" s="14"/>
      <c r="J20" s="45"/>
      <c r="K20" s="46">
        <f>SUM($K$21:$K$22)</f>
        <v>0</v>
      </c>
      <c r="L20" s="12"/>
      <c r="M20" s="12"/>
    </row>
    <row r="21" spans="1:18" s="79" customFormat="1" outlineLevel="4" x14ac:dyDescent="0.2">
      <c r="A21" s="59" t="s">
        <v>26</v>
      </c>
      <c r="B21" s="78" t="s">
        <v>132</v>
      </c>
      <c r="C21" s="58"/>
      <c r="D21" s="58" t="s">
        <v>37</v>
      </c>
      <c r="E21" s="59" t="s">
        <v>38</v>
      </c>
      <c r="F21" s="48">
        <v>1.05</v>
      </c>
      <c r="G21" s="61">
        <f>(1.05+0.222)*G19</f>
        <v>1183.0236</v>
      </c>
      <c r="H21" s="61">
        <f>(1.05+0.247)*H19</f>
        <v>2132.6052200000004</v>
      </c>
      <c r="I21" s="61">
        <f>SUM($G$21:$H$21)</f>
        <v>3315.6288200000004</v>
      </c>
      <c r="J21" s="94">
        <f>VLOOKUP(B21,М[],6,0)</f>
        <v>0</v>
      </c>
      <c r="K21" s="61">
        <f>ROUND($I$21*$J$21,2)</f>
        <v>0</v>
      </c>
      <c r="L21" s="58"/>
      <c r="M21" s="58" t="s">
        <v>104</v>
      </c>
    </row>
    <row r="22" spans="1:18" ht="33.75" outlineLevel="4" x14ac:dyDescent="0.2">
      <c r="A22" s="16" t="s">
        <v>30</v>
      </c>
      <c r="B22" s="78" t="s">
        <v>133</v>
      </c>
      <c r="C22" s="15" t="s">
        <v>39</v>
      </c>
      <c r="D22" s="58" t="s">
        <v>40</v>
      </c>
      <c r="E22" s="16" t="s">
        <v>41</v>
      </c>
      <c r="F22" s="89">
        <v>4</v>
      </c>
      <c r="G22" s="22">
        <v>3720.2</v>
      </c>
      <c r="H22" s="21">
        <v>6577.04</v>
      </c>
      <c r="I22" s="21">
        <f>SUM($G$22:$H$22)</f>
        <v>10297.24</v>
      </c>
      <c r="J22" s="94">
        <f>VLOOKUP(B22,М[],6,0)</f>
        <v>0</v>
      </c>
      <c r="K22" s="21">
        <f>ROUND($I$22*$J$22,2)</f>
        <v>0</v>
      </c>
      <c r="L22" s="15" t="s">
        <v>39</v>
      </c>
      <c r="M22" s="15" t="s">
        <v>104</v>
      </c>
      <c r="O22" s="80"/>
      <c r="Q22" s="80"/>
      <c r="R22" s="80"/>
    </row>
    <row r="23" spans="1:18" outlineLevel="4" x14ac:dyDescent="0.2">
      <c r="A23" s="75"/>
      <c r="B23" s="74" t="s">
        <v>22</v>
      </c>
      <c r="C23" s="14"/>
      <c r="D23" s="14"/>
      <c r="E23" s="14"/>
      <c r="F23" s="14"/>
      <c r="G23" s="14"/>
      <c r="H23" s="14"/>
      <c r="I23" s="14"/>
      <c r="J23" s="45"/>
      <c r="K23" s="46">
        <f>SUM($K$24)</f>
        <v>0</v>
      </c>
      <c r="L23" s="12"/>
      <c r="M23" s="12"/>
    </row>
    <row r="24" spans="1:18" outlineLevel="4" x14ac:dyDescent="0.2">
      <c r="A24" s="16"/>
      <c r="B24" s="76" t="s">
        <v>42</v>
      </c>
      <c r="C24" s="15"/>
      <c r="D24" s="15"/>
      <c r="E24" s="16" t="s">
        <v>34</v>
      </c>
      <c r="F24" s="17"/>
      <c r="G24" s="21">
        <v>1757.86</v>
      </c>
      <c r="H24" s="21">
        <v>3167.81</v>
      </c>
      <c r="I24" s="21">
        <f>SUM($G$24:$H$24)</f>
        <v>4925.67</v>
      </c>
      <c r="J24" s="21">
        <f t="array" ref="J24">INDEX(Р[Цена за ед., руб],MATCH(1,IF(($B24=Р[Наименование])*($L24=Р[Примечание]),{1},($B24=Р[Наименование])*($L24=Р[Примечание])),0))</f>
        <v>0</v>
      </c>
      <c r="K24" s="21">
        <f>ROUND($I$24*$J$24,2)</f>
        <v>0</v>
      </c>
      <c r="L24" s="15"/>
      <c r="M24" s="15"/>
    </row>
    <row r="25" spans="1:18" outlineLevel="4" x14ac:dyDescent="0.2">
      <c r="A25" s="75"/>
      <c r="B25" s="74" t="s">
        <v>25</v>
      </c>
      <c r="C25" s="14"/>
      <c r="D25" s="14"/>
      <c r="E25" s="14"/>
      <c r="F25" s="14"/>
      <c r="G25" s="14"/>
      <c r="H25" s="14"/>
      <c r="I25" s="14"/>
      <c r="J25" s="45"/>
      <c r="K25" s="46">
        <f>SUM($K$26)</f>
        <v>0</v>
      </c>
      <c r="L25" s="12"/>
      <c r="M25" s="12"/>
    </row>
    <row r="26" spans="1:18" ht="22.5" outlineLevel="4" x14ac:dyDescent="0.2">
      <c r="A26" s="16" t="s">
        <v>26</v>
      </c>
      <c r="B26" s="78" t="s">
        <v>134</v>
      </c>
      <c r="C26" s="15"/>
      <c r="D26" s="58" t="s">
        <v>43</v>
      </c>
      <c r="E26" s="16" t="s">
        <v>34</v>
      </c>
      <c r="F26" s="89">
        <v>1.05</v>
      </c>
      <c r="G26" s="21">
        <v>1845.78</v>
      </c>
      <c r="H26" s="22">
        <v>3326.3</v>
      </c>
      <c r="I26" s="21">
        <f>SUM($G$26:$H$26)</f>
        <v>5172.08</v>
      </c>
      <c r="J26" s="94">
        <f>VLOOKUP(B26,М[],6,0)</f>
        <v>0</v>
      </c>
      <c r="K26" s="21">
        <f>ROUND($I$26*$J$26,2)</f>
        <v>0</v>
      </c>
      <c r="L26" s="15"/>
      <c r="M26" s="15" t="s">
        <v>104</v>
      </c>
    </row>
    <row r="27" spans="1:18" outlineLevel="4" x14ac:dyDescent="0.2">
      <c r="A27" s="75"/>
      <c r="B27" s="74" t="s">
        <v>22</v>
      </c>
      <c r="C27" s="14"/>
      <c r="D27" s="14"/>
      <c r="E27" s="14"/>
      <c r="F27" s="14"/>
      <c r="G27" s="14"/>
      <c r="H27" s="14"/>
      <c r="I27" s="14"/>
      <c r="J27" s="45"/>
      <c r="K27" s="46">
        <f>SUM($K$28)</f>
        <v>0</v>
      </c>
      <c r="L27" s="12"/>
      <c r="M27" s="12"/>
    </row>
    <row r="28" spans="1:18" ht="56.25" outlineLevel="4" x14ac:dyDescent="0.2">
      <c r="A28" s="16"/>
      <c r="B28" s="76" t="s">
        <v>44</v>
      </c>
      <c r="C28" s="15"/>
      <c r="D28" s="15"/>
      <c r="E28" s="16" t="s">
        <v>34</v>
      </c>
      <c r="F28" s="17"/>
      <c r="G28" s="21">
        <v>4079.02</v>
      </c>
      <c r="H28" s="21">
        <v>7326.59</v>
      </c>
      <c r="I28" s="21">
        <f>SUM($G$28:$H$28)</f>
        <v>11405.61</v>
      </c>
      <c r="J28" s="21">
        <f t="array" ref="J28">INDEX(Р[Цена за ед., руб],MATCH(1,IF(($B28=Р[Наименование])*($L28=Р[Примечание]),{1},($B28=Р[Наименование])*($L28=Р[Примечание])),0))</f>
        <v>0</v>
      </c>
      <c r="K28" s="21">
        <f>ROUND($I$28*$J$28,2)</f>
        <v>0</v>
      </c>
      <c r="L28" s="15" t="s">
        <v>45</v>
      </c>
      <c r="M28" s="15"/>
    </row>
    <row r="29" spans="1:18" outlineLevel="4" x14ac:dyDescent="0.2">
      <c r="A29" s="75"/>
      <c r="B29" s="74" t="s">
        <v>25</v>
      </c>
      <c r="C29" s="14"/>
      <c r="D29" s="14"/>
      <c r="E29" s="14"/>
      <c r="F29" s="14"/>
      <c r="G29" s="14"/>
      <c r="H29" s="14"/>
      <c r="I29" s="14"/>
      <c r="J29" s="45"/>
      <c r="K29" s="46">
        <f>SUM($K$30:$K$37)</f>
        <v>0</v>
      </c>
      <c r="L29" s="12"/>
      <c r="M29" s="12"/>
    </row>
    <row r="30" spans="1:18" ht="22.5" outlineLevel="4" x14ac:dyDescent="0.2">
      <c r="A30" s="16" t="s">
        <v>26</v>
      </c>
      <c r="B30" s="78" t="s">
        <v>135</v>
      </c>
      <c r="C30" s="15"/>
      <c r="D30" s="58" t="s">
        <v>46</v>
      </c>
      <c r="E30" s="16" t="s">
        <v>47</v>
      </c>
      <c r="F30" s="89">
        <v>1.05</v>
      </c>
      <c r="G30" s="21">
        <v>7698.02</v>
      </c>
      <c r="H30" s="21">
        <v>14311.75</v>
      </c>
      <c r="I30" s="21">
        <f>SUM($G$30:$H$30)</f>
        <v>22009.77</v>
      </c>
      <c r="J30" s="94">
        <f>VLOOKUP(B30,М[],6,0)</f>
        <v>0</v>
      </c>
      <c r="K30" s="21">
        <f>ROUND($I$30*$J$30,2)</f>
        <v>0</v>
      </c>
      <c r="L30" s="15"/>
      <c r="M30" s="15" t="s">
        <v>104</v>
      </c>
    </row>
    <row r="31" spans="1:18" outlineLevel="4" x14ac:dyDescent="0.2">
      <c r="A31" s="16" t="s">
        <v>30</v>
      </c>
      <c r="B31" s="78" t="s">
        <v>136</v>
      </c>
      <c r="C31" s="15"/>
      <c r="D31" s="58" t="s">
        <v>48</v>
      </c>
      <c r="E31" s="16" t="s">
        <v>41</v>
      </c>
      <c r="F31" s="89">
        <v>460</v>
      </c>
      <c r="G31" s="22">
        <v>150130.20000000001</v>
      </c>
      <c r="H31" s="21">
        <v>269622.59000000003</v>
      </c>
      <c r="I31" s="21">
        <f>SUM($G$31:$H$31)</f>
        <v>419752.79000000004</v>
      </c>
      <c r="J31" s="94">
        <f>VLOOKUP(B31,М[],6,0)</f>
        <v>0</v>
      </c>
      <c r="K31" s="21">
        <f>ROUND($I$31*$J$31,2)</f>
        <v>0</v>
      </c>
      <c r="L31" s="15"/>
      <c r="M31" s="15" t="s">
        <v>104</v>
      </c>
    </row>
    <row r="32" spans="1:18" ht="33.75" outlineLevel="4" x14ac:dyDescent="0.2">
      <c r="A32" s="16" t="s">
        <v>32</v>
      </c>
      <c r="B32" s="78" t="s">
        <v>137</v>
      </c>
      <c r="C32" s="15"/>
      <c r="D32" s="58" t="s">
        <v>49</v>
      </c>
      <c r="E32" s="16" t="s">
        <v>29</v>
      </c>
      <c r="F32" s="89">
        <v>1.7230000000000001</v>
      </c>
      <c r="G32" s="18">
        <v>562.21</v>
      </c>
      <c r="H32" s="21">
        <v>1009.66</v>
      </c>
      <c r="I32" s="21">
        <f>SUM($G$32:$H$32)</f>
        <v>1571.87</v>
      </c>
      <c r="J32" s="94">
        <f>VLOOKUP(B32,М[],6,0)</f>
        <v>0</v>
      </c>
      <c r="K32" s="21">
        <f>ROUND($I$32*$J$32,2)</f>
        <v>0</v>
      </c>
      <c r="L32" s="15"/>
      <c r="M32" s="15" t="s">
        <v>104</v>
      </c>
    </row>
    <row r="33" spans="1:13" ht="22.5" outlineLevel="4" x14ac:dyDescent="0.2">
      <c r="A33" s="16" t="s">
        <v>50</v>
      </c>
      <c r="B33" s="78" t="s">
        <v>138</v>
      </c>
      <c r="C33" s="15"/>
      <c r="D33" s="58" t="s">
        <v>51</v>
      </c>
      <c r="E33" s="16" t="s">
        <v>34</v>
      </c>
      <c r="F33" s="89">
        <v>1.05</v>
      </c>
      <c r="G33" s="21">
        <v>4282.96</v>
      </c>
      <c r="H33" s="21">
        <v>7692.91</v>
      </c>
      <c r="I33" s="21">
        <f>SUM($G$33:$H$33)</f>
        <v>11975.869999999999</v>
      </c>
      <c r="J33" s="94">
        <f>VLOOKUP(B33,М[],6,0)</f>
        <v>0</v>
      </c>
      <c r="K33" s="21">
        <f>ROUND($I$33*$J$33,2)</f>
        <v>0</v>
      </c>
      <c r="L33" s="15"/>
      <c r="M33" s="15" t="s">
        <v>104</v>
      </c>
    </row>
    <row r="34" spans="1:13" ht="33.75" outlineLevel="4" x14ac:dyDescent="0.2">
      <c r="A34" s="16" t="s">
        <v>52</v>
      </c>
      <c r="B34" s="78" t="s">
        <v>139</v>
      </c>
      <c r="C34" s="15"/>
      <c r="D34" s="58" t="s">
        <v>53</v>
      </c>
      <c r="E34" s="16" t="s">
        <v>54</v>
      </c>
      <c r="F34" s="89">
        <v>2.1</v>
      </c>
      <c r="G34" s="23">
        <v>194</v>
      </c>
      <c r="H34" s="23">
        <v>340</v>
      </c>
      <c r="I34" s="23">
        <f>SUM($G$34:$H$34)</f>
        <v>534</v>
      </c>
      <c r="J34" s="94">
        <f>VLOOKUP(B34,М[],6,0)</f>
        <v>0</v>
      </c>
      <c r="K34" s="21">
        <f>ROUND($I$34*$J$34,2)</f>
        <v>0</v>
      </c>
      <c r="L34" s="15" t="s">
        <v>55</v>
      </c>
      <c r="M34" s="15" t="s">
        <v>104</v>
      </c>
    </row>
    <row r="35" spans="1:13" ht="22.5" outlineLevel="4" x14ac:dyDescent="0.2">
      <c r="A35" s="16" t="s">
        <v>56</v>
      </c>
      <c r="B35" s="78" t="s">
        <v>140</v>
      </c>
      <c r="C35" s="15"/>
      <c r="D35" s="58" t="s">
        <v>57</v>
      </c>
      <c r="E35" s="16" t="s">
        <v>41</v>
      </c>
      <c r="F35" s="89">
        <v>0.4</v>
      </c>
      <c r="G35" s="18">
        <v>130.57</v>
      </c>
      <c r="H35" s="18">
        <v>234.46</v>
      </c>
      <c r="I35" s="18">
        <f>SUM($G$35:$H$35)</f>
        <v>365.03</v>
      </c>
      <c r="J35" s="94">
        <f>VLOOKUP(B35,М[],6,0)</f>
        <v>0</v>
      </c>
      <c r="K35" s="21">
        <f>ROUND($I$35*$J$35,2)</f>
        <v>0</v>
      </c>
      <c r="L35" s="15"/>
      <c r="M35" s="15" t="s">
        <v>104</v>
      </c>
    </row>
    <row r="36" spans="1:13" ht="22.5" outlineLevel="4" x14ac:dyDescent="0.2">
      <c r="A36" s="16" t="s">
        <v>58</v>
      </c>
      <c r="B36" s="78" t="s">
        <v>141</v>
      </c>
      <c r="C36" s="15"/>
      <c r="D36" s="58" t="s">
        <v>59</v>
      </c>
      <c r="E36" s="16" t="s">
        <v>60</v>
      </c>
      <c r="F36" s="89">
        <v>1.05</v>
      </c>
      <c r="G36" s="23">
        <v>220</v>
      </c>
      <c r="H36" s="23">
        <v>418</v>
      </c>
      <c r="I36" s="23">
        <f>SUM($G$36:$H$36)</f>
        <v>638</v>
      </c>
      <c r="J36" s="94">
        <f>VLOOKUP(B36,М[],6,0)</f>
        <v>0</v>
      </c>
      <c r="K36" s="21">
        <f>ROUND($I$36*$J$36,2)</f>
        <v>0</v>
      </c>
      <c r="L36" s="15"/>
      <c r="M36" s="15" t="s">
        <v>104</v>
      </c>
    </row>
    <row r="37" spans="1:13" outlineLevel="4" x14ac:dyDescent="0.2">
      <c r="A37" s="16" t="s">
        <v>61</v>
      </c>
      <c r="B37" s="78" t="s">
        <v>142</v>
      </c>
      <c r="C37" s="15"/>
      <c r="D37" s="58" t="s">
        <v>62</v>
      </c>
      <c r="E37" s="16" t="s">
        <v>63</v>
      </c>
      <c r="F37" s="89">
        <v>1</v>
      </c>
      <c r="G37" s="18">
        <v>326.37</v>
      </c>
      <c r="H37" s="18">
        <v>586.15</v>
      </c>
      <c r="I37" s="18">
        <f>SUM($G$37:$H$37)</f>
        <v>912.52</v>
      </c>
      <c r="J37" s="94">
        <f>VLOOKUP(B37,М[],6,0)</f>
        <v>0</v>
      </c>
      <c r="K37" s="21">
        <f>ROUND($I$37*$J$37,2)</f>
        <v>0</v>
      </c>
      <c r="L37" s="15"/>
      <c r="M37" s="15" t="s">
        <v>104</v>
      </c>
    </row>
    <row r="38" spans="1:13" outlineLevel="4" x14ac:dyDescent="0.2">
      <c r="A38" s="75"/>
      <c r="B38" s="74" t="s">
        <v>22</v>
      </c>
      <c r="C38" s="14"/>
      <c r="D38" s="14"/>
      <c r="E38" s="14"/>
      <c r="F38" s="14"/>
      <c r="G38" s="14"/>
      <c r="H38" s="14"/>
      <c r="I38" s="14"/>
      <c r="J38" s="45"/>
      <c r="K38" s="46">
        <f>SUM($K$39)</f>
        <v>0</v>
      </c>
      <c r="L38" s="12"/>
      <c r="M38" s="12"/>
    </row>
    <row r="39" spans="1:13" ht="67.5" outlineLevel="4" x14ac:dyDescent="0.2">
      <c r="A39" s="16"/>
      <c r="B39" s="76" t="s">
        <v>64</v>
      </c>
      <c r="C39" s="15"/>
      <c r="D39" s="15"/>
      <c r="E39" s="16" t="s">
        <v>34</v>
      </c>
      <c r="F39" s="17"/>
      <c r="G39" s="18">
        <v>472.05</v>
      </c>
      <c r="H39" s="20">
        <v>464.9</v>
      </c>
      <c r="I39" s="18">
        <f>SUM($G$39:$H$39)</f>
        <v>936.95</v>
      </c>
      <c r="J39" s="21">
        <f t="array" ref="J39">INDEX(Р[Цена за ед., руб],MATCH(1,IF(($B39=Р[Наименование])*($L39=Р[Примечание]),{1},($B39=Р[Наименование])*($L39=Р[Примечание])),0))</f>
        <v>0</v>
      </c>
      <c r="K39" s="21">
        <f>ROUND($I$39*$J$39,2)</f>
        <v>0</v>
      </c>
      <c r="L39" s="15" t="s">
        <v>65</v>
      </c>
      <c r="M39" s="15"/>
    </row>
    <row r="40" spans="1:13" outlineLevel="4" x14ac:dyDescent="0.2">
      <c r="A40" s="75"/>
      <c r="B40" s="74" t="s">
        <v>25</v>
      </c>
      <c r="C40" s="14"/>
      <c r="D40" s="14"/>
      <c r="E40" s="14"/>
      <c r="F40" s="14"/>
      <c r="G40" s="14"/>
      <c r="H40" s="14"/>
      <c r="I40" s="14"/>
      <c r="J40" s="45"/>
      <c r="K40" s="46">
        <f>SUM($K$41:$K$47)</f>
        <v>0</v>
      </c>
      <c r="L40" s="12"/>
      <c r="M40" s="12"/>
    </row>
    <row r="41" spans="1:13" ht="22.5" outlineLevel="4" x14ac:dyDescent="0.2">
      <c r="A41" s="16" t="s">
        <v>26</v>
      </c>
      <c r="B41" s="78" t="s">
        <v>135</v>
      </c>
      <c r="C41" s="15"/>
      <c r="D41" s="58" t="s">
        <v>46</v>
      </c>
      <c r="E41" s="16" t="s">
        <v>47</v>
      </c>
      <c r="F41" s="89">
        <v>1.05</v>
      </c>
      <c r="G41" s="18">
        <v>331.54</v>
      </c>
      <c r="H41" s="18">
        <v>429.85</v>
      </c>
      <c r="I41" s="18">
        <f>SUM($G$41:$H$41)</f>
        <v>761.3900000000001</v>
      </c>
      <c r="J41" s="94">
        <f>VLOOKUP(B41,М[],6,0)</f>
        <v>0</v>
      </c>
      <c r="K41" s="21">
        <f>ROUND($I$41*$J$41,2)</f>
        <v>0</v>
      </c>
      <c r="L41" s="15"/>
      <c r="M41" s="15" t="s">
        <v>104</v>
      </c>
    </row>
    <row r="42" spans="1:13" ht="22.5" outlineLevel="4" x14ac:dyDescent="0.2">
      <c r="A42" s="16" t="s">
        <v>30</v>
      </c>
      <c r="B42" s="78" t="s">
        <v>143</v>
      </c>
      <c r="C42" s="15"/>
      <c r="D42" s="58" t="s">
        <v>66</v>
      </c>
      <c r="E42" s="16" t="s">
        <v>24</v>
      </c>
      <c r="F42" s="89">
        <v>1.03</v>
      </c>
      <c r="G42" s="18">
        <v>24.31</v>
      </c>
      <c r="H42" s="18">
        <v>23.95</v>
      </c>
      <c r="I42" s="18">
        <f>SUM($G$42:$H$42)</f>
        <v>48.26</v>
      </c>
      <c r="J42" s="94">
        <f>VLOOKUP(B42,М[],6,0)</f>
        <v>0</v>
      </c>
      <c r="K42" s="21">
        <f>ROUND($I$42*$J$42,2)</f>
        <v>0</v>
      </c>
      <c r="L42" s="15"/>
      <c r="M42" s="15" t="s">
        <v>104</v>
      </c>
    </row>
    <row r="43" spans="1:13" outlineLevel="4" x14ac:dyDescent="0.2">
      <c r="A43" s="16" t="s">
        <v>32</v>
      </c>
      <c r="B43" s="78" t="s">
        <v>136</v>
      </c>
      <c r="C43" s="15"/>
      <c r="D43" s="58" t="s">
        <v>48</v>
      </c>
      <c r="E43" s="16" t="s">
        <v>41</v>
      </c>
      <c r="F43" s="89">
        <v>460</v>
      </c>
      <c r="G43" s="21">
        <v>16440.45</v>
      </c>
      <c r="H43" s="21">
        <v>16035.28</v>
      </c>
      <c r="I43" s="21">
        <f>SUM($G$43:$H$43)</f>
        <v>32475.730000000003</v>
      </c>
      <c r="J43" s="94">
        <f>VLOOKUP(B43,М[],6,0)</f>
        <v>0</v>
      </c>
      <c r="K43" s="21">
        <f>ROUND($I$43*$J$43,2)</f>
        <v>0</v>
      </c>
      <c r="L43" s="15"/>
      <c r="M43" s="15" t="s">
        <v>104</v>
      </c>
    </row>
    <row r="44" spans="1:13" ht="33.75" outlineLevel="4" x14ac:dyDescent="0.2">
      <c r="A44" s="16" t="s">
        <v>50</v>
      </c>
      <c r="B44" s="78" t="s">
        <v>137</v>
      </c>
      <c r="C44" s="15"/>
      <c r="D44" s="58" t="s">
        <v>49</v>
      </c>
      <c r="E44" s="16" t="s">
        <v>29</v>
      </c>
      <c r="F44" s="89">
        <v>1.7230000000000001</v>
      </c>
      <c r="G44" s="18">
        <v>61.57</v>
      </c>
      <c r="H44" s="18">
        <v>60.05</v>
      </c>
      <c r="I44" s="18">
        <f>SUM($G$44:$H$44)</f>
        <v>121.62</v>
      </c>
      <c r="J44" s="94">
        <f>VLOOKUP(B44,М[],6,0)</f>
        <v>0</v>
      </c>
      <c r="K44" s="21">
        <f>ROUND($I$44*$J$44,2)</f>
        <v>0</v>
      </c>
      <c r="L44" s="15"/>
      <c r="M44" s="15" t="s">
        <v>104</v>
      </c>
    </row>
    <row r="45" spans="1:13" ht="22.5" outlineLevel="4" x14ac:dyDescent="0.2">
      <c r="A45" s="16" t="s">
        <v>52</v>
      </c>
      <c r="B45" s="78" t="s">
        <v>140</v>
      </c>
      <c r="C45" s="15"/>
      <c r="D45" s="58" t="s">
        <v>57</v>
      </c>
      <c r="E45" s="16" t="s">
        <v>41</v>
      </c>
      <c r="F45" s="89">
        <v>0.4</v>
      </c>
      <c r="G45" s="18">
        <v>14.29</v>
      </c>
      <c r="H45" s="18">
        <v>13.95</v>
      </c>
      <c r="I45" s="18">
        <f>SUM($G$45:$H$45)</f>
        <v>28.24</v>
      </c>
      <c r="J45" s="94">
        <f>VLOOKUP(B45,М[],6,0)</f>
        <v>0</v>
      </c>
      <c r="K45" s="21">
        <f>ROUND($I$45*$J$45,2)</f>
        <v>0</v>
      </c>
      <c r="L45" s="15"/>
      <c r="M45" s="15" t="s">
        <v>104</v>
      </c>
    </row>
    <row r="46" spans="1:13" ht="22.5" outlineLevel="4" x14ac:dyDescent="0.2">
      <c r="A46" s="16" t="s">
        <v>56</v>
      </c>
      <c r="B46" s="78" t="s">
        <v>141</v>
      </c>
      <c r="C46" s="15"/>
      <c r="D46" s="58" t="s">
        <v>59</v>
      </c>
      <c r="E46" s="16" t="s">
        <v>60</v>
      </c>
      <c r="F46" s="89">
        <v>1.05</v>
      </c>
      <c r="G46" s="23">
        <v>17</v>
      </c>
      <c r="H46" s="23">
        <v>22</v>
      </c>
      <c r="I46" s="23">
        <f>SUM($G$46:$H$46)</f>
        <v>39</v>
      </c>
      <c r="J46" s="94">
        <f>VLOOKUP(B46,М[],6,0)</f>
        <v>0</v>
      </c>
      <c r="K46" s="21">
        <f>ROUND($I$46*$J$46,2)</f>
        <v>0</v>
      </c>
      <c r="L46" s="15"/>
      <c r="M46" s="15" t="s">
        <v>104</v>
      </c>
    </row>
    <row r="47" spans="1:13" outlineLevel="4" x14ac:dyDescent="0.2">
      <c r="A47" s="16" t="s">
        <v>58</v>
      </c>
      <c r="B47" s="78" t="s">
        <v>142</v>
      </c>
      <c r="C47" s="15"/>
      <c r="D47" s="58" t="s">
        <v>62</v>
      </c>
      <c r="E47" s="16" t="s">
        <v>63</v>
      </c>
      <c r="F47" s="89">
        <v>1</v>
      </c>
      <c r="G47" s="18">
        <v>35.74</v>
      </c>
      <c r="H47" s="18">
        <v>34.86</v>
      </c>
      <c r="I47" s="20">
        <f>SUM($G$47:$H$47)</f>
        <v>70.599999999999994</v>
      </c>
      <c r="J47" s="94">
        <f>VLOOKUP(B47,М[],6,0)</f>
        <v>0</v>
      </c>
      <c r="K47" s="21">
        <f>ROUND($I$47*$J$47,2)</f>
        <v>0</v>
      </c>
      <c r="L47" s="15"/>
      <c r="M47" s="15" t="s">
        <v>104</v>
      </c>
    </row>
    <row r="48" spans="1:13" outlineLevel="4" x14ac:dyDescent="0.2">
      <c r="A48" s="75"/>
      <c r="B48" s="74" t="s">
        <v>22</v>
      </c>
      <c r="C48" s="14"/>
      <c r="D48" s="14"/>
      <c r="E48" s="14"/>
      <c r="F48" s="14"/>
      <c r="G48" s="14"/>
      <c r="H48" s="14"/>
      <c r="I48" s="14"/>
      <c r="J48" s="45"/>
      <c r="K48" s="46">
        <f>SUM($K$49)</f>
        <v>0</v>
      </c>
      <c r="L48" s="12"/>
      <c r="M48" s="12"/>
    </row>
    <row r="49" spans="1:16" ht="67.5" outlineLevel="4" x14ac:dyDescent="0.2">
      <c r="A49" s="16"/>
      <c r="B49" s="76" t="s">
        <v>67</v>
      </c>
      <c r="C49" s="15"/>
      <c r="D49" s="15"/>
      <c r="E49" s="16" t="s">
        <v>34</v>
      </c>
      <c r="F49" s="17"/>
      <c r="G49" s="18">
        <v>32.86</v>
      </c>
      <c r="H49" s="20">
        <v>57.7</v>
      </c>
      <c r="I49" s="18">
        <f>SUM($G$49:$H$49)</f>
        <v>90.56</v>
      </c>
      <c r="J49" s="21">
        <f t="array" ref="J49">INDEX(Р[Цена за ед., руб],MATCH(1,IF(($B49=Р[Наименование])*($L49=Р[Примечание]),{1},($B49=Р[Наименование])*($L49=Р[Примечание])),0))</f>
        <v>0</v>
      </c>
      <c r="K49" s="21">
        <f>ROUND($I$49*$J$49,2)</f>
        <v>0</v>
      </c>
      <c r="L49" s="15" t="s">
        <v>68</v>
      </c>
      <c r="M49" s="15"/>
    </row>
    <row r="50" spans="1:16" outlineLevel="4" x14ac:dyDescent="0.2">
      <c r="A50" s="75"/>
      <c r="B50" s="74" t="s">
        <v>25</v>
      </c>
      <c r="C50" s="14"/>
      <c r="D50" s="14"/>
      <c r="E50" s="14"/>
      <c r="F50" s="14"/>
      <c r="G50" s="14"/>
      <c r="H50" s="14"/>
      <c r="I50" s="14"/>
      <c r="J50" s="45"/>
      <c r="K50" s="46">
        <f>SUM($K$51:$K$58)</f>
        <v>0</v>
      </c>
      <c r="L50" s="12"/>
      <c r="M50" s="12"/>
    </row>
    <row r="51" spans="1:16" ht="22.5" outlineLevel="4" x14ac:dyDescent="0.2">
      <c r="A51" s="16" t="s">
        <v>26</v>
      </c>
      <c r="B51" s="78" t="s">
        <v>143</v>
      </c>
      <c r="C51" s="15"/>
      <c r="D51" s="58" t="s">
        <v>66</v>
      </c>
      <c r="E51" s="16" t="s">
        <v>24</v>
      </c>
      <c r="F51" s="89">
        <v>1.03</v>
      </c>
      <c r="G51" s="18">
        <v>1.35</v>
      </c>
      <c r="H51" s="18">
        <v>2.63</v>
      </c>
      <c r="I51" s="18">
        <f>SUM($G$51:$H$51)</f>
        <v>3.98</v>
      </c>
      <c r="J51" s="94">
        <f>VLOOKUP(B51,М[],6,0)</f>
        <v>0</v>
      </c>
      <c r="K51" s="21">
        <f>ROUND($I$51*$J$51,2)</f>
        <v>0</v>
      </c>
      <c r="L51" s="15"/>
      <c r="M51" s="15" t="s">
        <v>104</v>
      </c>
    </row>
    <row r="52" spans="1:16" ht="22.5" outlineLevel="4" x14ac:dyDescent="0.2">
      <c r="A52" s="16" t="s">
        <v>30</v>
      </c>
      <c r="B52" s="78" t="s">
        <v>144</v>
      </c>
      <c r="C52" s="15"/>
      <c r="D52" s="58" t="s">
        <v>69</v>
      </c>
      <c r="E52" s="16" t="s">
        <v>24</v>
      </c>
      <c r="F52" s="89">
        <v>1.03</v>
      </c>
      <c r="G52" s="18">
        <v>1.39</v>
      </c>
      <c r="H52" s="18">
        <v>1.37</v>
      </c>
      <c r="I52" s="18">
        <f>SUM($G$52:$H$52)</f>
        <v>2.76</v>
      </c>
      <c r="J52" s="94">
        <f>VLOOKUP(B52,М[],6,0)</f>
        <v>0</v>
      </c>
      <c r="K52" s="21">
        <f>ROUND($I$52*$J$52,2)</f>
        <v>0</v>
      </c>
      <c r="L52" s="15"/>
      <c r="M52" s="15" t="s">
        <v>104</v>
      </c>
    </row>
    <row r="53" spans="1:16" s="79" customFormat="1" outlineLevel="4" x14ac:dyDescent="0.2">
      <c r="A53" s="59" t="s">
        <v>32</v>
      </c>
      <c r="B53" s="78" t="s">
        <v>132</v>
      </c>
      <c r="C53" s="58"/>
      <c r="D53" s="58" t="s">
        <v>37</v>
      </c>
      <c r="E53" s="59" t="s">
        <v>38</v>
      </c>
      <c r="F53" s="90">
        <v>1.05</v>
      </c>
      <c r="G53" s="87">
        <f>(1.05+0.528)*G49</f>
        <v>51.853079999999999</v>
      </c>
      <c r="H53" s="60">
        <f>(0.397+1.05)*H49</f>
        <v>83.491900000000001</v>
      </c>
      <c r="I53" s="60">
        <f>SUM($G$53:$H$53)</f>
        <v>135.34497999999999</v>
      </c>
      <c r="J53" s="94">
        <f>VLOOKUP(B53,М[],6,0)</f>
        <v>0</v>
      </c>
      <c r="K53" s="61">
        <f>ROUND($I$53*$J$53,2)</f>
        <v>0</v>
      </c>
      <c r="L53" s="58"/>
      <c r="M53" s="58" t="s">
        <v>104</v>
      </c>
      <c r="P53" s="88"/>
    </row>
    <row r="54" spans="1:16" ht="33.75" outlineLevel="4" x14ac:dyDescent="0.2">
      <c r="A54" s="16" t="s">
        <v>50</v>
      </c>
      <c r="B54" s="78" t="s">
        <v>133</v>
      </c>
      <c r="C54" s="15" t="s">
        <v>39</v>
      </c>
      <c r="D54" s="58" t="s">
        <v>40</v>
      </c>
      <c r="E54" s="16" t="s">
        <v>41</v>
      </c>
      <c r="F54" s="89">
        <v>4</v>
      </c>
      <c r="G54" s="18">
        <v>214.16</v>
      </c>
      <c r="H54" s="18">
        <v>329.28</v>
      </c>
      <c r="I54" s="18">
        <f>SUM($G$54:$H$54)</f>
        <v>543.43999999999994</v>
      </c>
      <c r="J54" s="94">
        <f>VLOOKUP(B54,М[],6,0)</f>
        <v>0</v>
      </c>
      <c r="K54" s="21">
        <f>ROUND($I$54*$J$54,2)</f>
        <v>0</v>
      </c>
      <c r="L54" s="15" t="s">
        <v>39</v>
      </c>
      <c r="M54" s="15" t="s">
        <v>104</v>
      </c>
    </row>
    <row r="55" spans="1:16" outlineLevel="4" x14ac:dyDescent="0.2">
      <c r="A55" s="16" t="s">
        <v>52</v>
      </c>
      <c r="B55" s="78" t="s">
        <v>136</v>
      </c>
      <c r="C55" s="15"/>
      <c r="D55" s="58" t="s">
        <v>48</v>
      </c>
      <c r="E55" s="16" t="s">
        <v>41</v>
      </c>
      <c r="F55" s="89">
        <v>460</v>
      </c>
      <c r="G55" s="21">
        <v>1031.3699999999999</v>
      </c>
      <c r="H55" s="21">
        <v>1945.25</v>
      </c>
      <c r="I55" s="21">
        <f>SUM($G$55:$H$55)</f>
        <v>2976.62</v>
      </c>
      <c r="J55" s="94">
        <f>VLOOKUP(B55,М[],6,0)</f>
        <v>0</v>
      </c>
      <c r="K55" s="21">
        <f>ROUND($I$55*$J$55,2)</f>
        <v>0</v>
      </c>
      <c r="L55" s="15"/>
      <c r="M55" s="15" t="s">
        <v>104</v>
      </c>
    </row>
    <row r="56" spans="1:16" ht="33.75" outlineLevel="4" x14ac:dyDescent="0.2">
      <c r="A56" s="16" t="s">
        <v>56</v>
      </c>
      <c r="B56" s="78" t="s">
        <v>137</v>
      </c>
      <c r="C56" s="15"/>
      <c r="D56" s="58" t="s">
        <v>49</v>
      </c>
      <c r="E56" s="16" t="s">
        <v>29</v>
      </c>
      <c r="F56" s="89">
        <v>1.7230000000000001</v>
      </c>
      <c r="G56" s="18">
        <v>3.86</v>
      </c>
      <c r="H56" s="18">
        <v>7.28</v>
      </c>
      <c r="I56" s="18">
        <f>SUM($G$56:$H$56)</f>
        <v>11.14</v>
      </c>
      <c r="J56" s="94">
        <f>VLOOKUP(B56,М[],6,0)</f>
        <v>0</v>
      </c>
      <c r="K56" s="21">
        <f>ROUND($I$56*$J$56,2)</f>
        <v>0</v>
      </c>
      <c r="L56" s="15"/>
      <c r="M56" s="15" t="s">
        <v>104</v>
      </c>
    </row>
    <row r="57" spans="1:16" ht="22.5" outlineLevel="4" x14ac:dyDescent="0.2">
      <c r="A57" s="16" t="s">
        <v>58</v>
      </c>
      <c r="B57" s="78" t="s">
        <v>140</v>
      </c>
      <c r="C57" s="15"/>
      <c r="D57" s="58" t="s">
        <v>57</v>
      </c>
      <c r="E57" s="16" t="s">
        <v>41</v>
      </c>
      <c r="F57" s="89">
        <v>0.4</v>
      </c>
      <c r="G57" s="20">
        <v>0.9</v>
      </c>
      <c r="H57" s="18">
        <v>1.69</v>
      </c>
      <c r="I57" s="18">
        <f>SUM($G$57:$H$57)</f>
        <v>2.59</v>
      </c>
      <c r="J57" s="94">
        <f>VLOOKUP(B57,М[],6,0)</f>
        <v>0</v>
      </c>
      <c r="K57" s="21">
        <f>ROUND($I$57*$J$57,2)</f>
        <v>0</v>
      </c>
      <c r="L57" s="15"/>
      <c r="M57" s="15" t="s">
        <v>104</v>
      </c>
    </row>
    <row r="58" spans="1:16" outlineLevel="4" x14ac:dyDescent="0.2">
      <c r="A58" s="16" t="s">
        <v>61</v>
      </c>
      <c r="B58" s="78" t="s">
        <v>142</v>
      </c>
      <c r="C58" s="15"/>
      <c r="D58" s="58" t="s">
        <v>62</v>
      </c>
      <c r="E58" s="16" t="s">
        <v>63</v>
      </c>
      <c r="F58" s="89">
        <v>1</v>
      </c>
      <c r="G58" s="18">
        <v>2.2400000000000002</v>
      </c>
      <c r="H58" s="18">
        <v>4.2300000000000004</v>
      </c>
      <c r="I58" s="18">
        <f>SUM($G$58:$H$58)</f>
        <v>6.4700000000000006</v>
      </c>
      <c r="J58" s="94">
        <f>VLOOKUP(B58,М[],6,0)</f>
        <v>0</v>
      </c>
      <c r="K58" s="21">
        <f>ROUND($I$58*$J$58,2)</f>
        <v>0</v>
      </c>
      <c r="L58" s="15"/>
      <c r="M58" s="15" t="s">
        <v>104</v>
      </c>
    </row>
    <row r="59" spans="1:16" outlineLevel="4" x14ac:dyDescent="0.2">
      <c r="A59" s="75"/>
      <c r="B59" s="74" t="s">
        <v>22</v>
      </c>
      <c r="C59" s="14"/>
      <c r="D59" s="14"/>
      <c r="E59" s="14"/>
      <c r="F59" s="14"/>
      <c r="G59" s="14"/>
      <c r="H59" s="14"/>
      <c r="I59" s="14"/>
      <c r="J59" s="45"/>
      <c r="K59" s="46">
        <f>SUM($K$60)</f>
        <v>0</v>
      </c>
      <c r="L59" s="12"/>
      <c r="M59" s="12"/>
    </row>
    <row r="60" spans="1:16" ht="67.5" outlineLevel="4" x14ac:dyDescent="0.2">
      <c r="A60" s="16"/>
      <c r="B60" s="76" t="s">
        <v>70</v>
      </c>
      <c r="C60" s="15"/>
      <c r="D60" s="15"/>
      <c r="E60" s="16" t="s">
        <v>34</v>
      </c>
      <c r="F60" s="17"/>
      <c r="G60" s="18">
        <v>688.75</v>
      </c>
      <c r="H60" s="21">
        <v>1412.91</v>
      </c>
      <c r="I60" s="21">
        <f>SUM($G$60:$H$60)</f>
        <v>2101.66</v>
      </c>
      <c r="J60" s="21">
        <f t="array" ref="J60">INDEX(Р[Цена за ед., руб],MATCH(1,IF(($B60=Р[Наименование])*($L60=Р[Примечание]),{1},($B60=Р[Наименование])*($L60=Р[Примечание])),0))</f>
        <v>0</v>
      </c>
      <c r="K60" s="21">
        <f>ROUND($I$60*$J$60,2)</f>
        <v>0</v>
      </c>
      <c r="L60" s="15" t="s">
        <v>71</v>
      </c>
      <c r="M60" s="15"/>
    </row>
    <row r="61" spans="1:16" outlineLevel="4" x14ac:dyDescent="0.2">
      <c r="A61" s="75"/>
      <c r="B61" s="74" t="s">
        <v>25</v>
      </c>
      <c r="C61" s="14"/>
      <c r="D61" s="14"/>
      <c r="E61" s="14"/>
      <c r="F61" s="14"/>
      <c r="G61" s="14"/>
      <c r="H61" s="14"/>
      <c r="I61" s="14"/>
      <c r="J61" s="45"/>
      <c r="K61" s="46">
        <f>SUM($K$62:$K$68)</f>
        <v>0</v>
      </c>
      <c r="L61" s="12"/>
      <c r="M61" s="12"/>
    </row>
    <row r="62" spans="1:16" ht="22.5" outlineLevel="4" x14ac:dyDescent="0.2">
      <c r="A62" s="16" t="s">
        <v>26</v>
      </c>
      <c r="B62" s="78" t="s">
        <v>135</v>
      </c>
      <c r="C62" s="15"/>
      <c r="D62" s="58" t="s">
        <v>46</v>
      </c>
      <c r="E62" s="16" t="s">
        <v>47</v>
      </c>
      <c r="F62" s="89">
        <v>1.05</v>
      </c>
      <c r="G62" s="18">
        <v>804.88</v>
      </c>
      <c r="H62" s="21">
        <v>1557.98</v>
      </c>
      <c r="I62" s="21">
        <f>SUM($G$62:$H$62)</f>
        <v>2362.86</v>
      </c>
      <c r="J62" s="94">
        <f>VLOOKUP(B62,М[],6,0)</f>
        <v>0</v>
      </c>
      <c r="K62" s="21">
        <f>ROUND($I$62*$J$62,2)</f>
        <v>0</v>
      </c>
      <c r="L62" s="15"/>
      <c r="M62" s="15" t="s">
        <v>104</v>
      </c>
    </row>
    <row r="63" spans="1:16" ht="33.75" outlineLevel="4" x14ac:dyDescent="0.2">
      <c r="A63" s="16" t="s">
        <v>30</v>
      </c>
      <c r="B63" s="78" t="s">
        <v>145</v>
      </c>
      <c r="C63" s="15"/>
      <c r="D63" s="58" t="s">
        <v>72</v>
      </c>
      <c r="E63" s="16" t="s">
        <v>41</v>
      </c>
      <c r="F63" s="89">
        <v>0.15</v>
      </c>
      <c r="G63" s="18">
        <v>179.08</v>
      </c>
      <c r="H63" s="23">
        <v>346</v>
      </c>
      <c r="I63" s="18">
        <f>SUM($G$63:$H$63)</f>
        <v>525.08000000000004</v>
      </c>
      <c r="J63" s="94">
        <f>VLOOKUP(B63,М[],6,0)</f>
        <v>0</v>
      </c>
      <c r="K63" s="21">
        <f>ROUND($I$63*$J$63,2)</f>
        <v>0</v>
      </c>
      <c r="L63" s="15"/>
      <c r="M63" s="15" t="s">
        <v>104</v>
      </c>
    </row>
    <row r="64" spans="1:16" outlineLevel="4" x14ac:dyDescent="0.2">
      <c r="A64" s="16" t="s">
        <v>32</v>
      </c>
      <c r="B64" s="78" t="s">
        <v>136</v>
      </c>
      <c r="C64" s="15"/>
      <c r="D64" s="58" t="s">
        <v>48</v>
      </c>
      <c r="E64" s="16" t="s">
        <v>41</v>
      </c>
      <c r="F64" s="89">
        <v>460</v>
      </c>
      <c r="G64" s="21">
        <v>25004.639999999999</v>
      </c>
      <c r="H64" s="21">
        <v>50641.36</v>
      </c>
      <c r="I64" s="24">
        <f>SUM($G$64:$H$64)</f>
        <v>75646</v>
      </c>
      <c r="J64" s="94">
        <f>VLOOKUP(B64,М[],6,0)</f>
        <v>0</v>
      </c>
      <c r="K64" s="21">
        <f>ROUND($I$64*$J$64,2)</f>
        <v>0</v>
      </c>
      <c r="L64" s="15"/>
      <c r="M64" s="15" t="s">
        <v>104</v>
      </c>
    </row>
    <row r="65" spans="1:13" ht="33.75" outlineLevel="4" x14ac:dyDescent="0.2">
      <c r="A65" s="16" t="s">
        <v>50</v>
      </c>
      <c r="B65" s="78" t="s">
        <v>137</v>
      </c>
      <c r="C65" s="15"/>
      <c r="D65" s="58" t="s">
        <v>49</v>
      </c>
      <c r="E65" s="16" t="s">
        <v>29</v>
      </c>
      <c r="F65" s="89">
        <v>1.7230000000000001</v>
      </c>
      <c r="G65" s="20">
        <v>93.6</v>
      </c>
      <c r="H65" s="18">
        <v>189.66</v>
      </c>
      <c r="I65" s="18">
        <f>SUM($G$65:$H$65)</f>
        <v>283.26</v>
      </c>
      <c r="J65" s="94">
        <f>VLOOKUP(B65,М[],6,0)</f>
        <v>0</v>
      </c>
      <c r="K65" s="21">
        <f>ROUND($I$65*$J$65,2)</f>
        <v>0</v>
      </c>
      <c r="L65" s="15"/>
      <c r="M65" s="15" t="s">
        <v>104</v>
      </c>
    </row>
    <row r="66" spans="1:13" ht="22.5" outlineLevel="4" x14ac:dyDescent="0.2">
      <c r="A66" s="16" t="s">
        <v>52</v>
      </c>
      <c r="B66" s="78" t="s">
        <v>140</v>
      </c>
      <c r="C66" s="15"/>
      <c r="D66" s="58" t="s">
        <v>57</v>
      </c>
      <c r="E66" s="16" t="s">
        <v>41</v>
      </c>
      <c r="F66" s="89">
        <v>0.4</v>
      </c>
      <c r="G66" s="18">
        <v>21.73</v>
      </c>
      <c r="H66" s="18">
        <v>43.97</v>
      </c>
      <c r="I66" s="20">
        <f>SUM($G$66:$H$66)</f>
        <v>65.7</v>
      </c>
      <c r="J66" s="94">
        <f>VLOOKUP(B66,М[],6,0)</f>
        <v>0</v>
      </c>
      <c r="K66" s="21">
        <f>ROUND($I$66*$J$66,2)</f>
        <v>0</v>
      </c>
      <c r="L66" s="15"/>
      <c r="M66" s="15" t="s">
        <v>104</v>
      </c>
    </row>
    <row r="67" spans="1:13" ht="22.5" outlineLevel="4" x14ac:dyDescent="0.2">
      <c r="A67" s="16" t="s">
        <v>56</v>
      </c>
      <c r="B67" s="78" t="s">
        <v>141</v>
      </c>
      <c r="C67" s="15"/>
      <c r="D67" s="58" t="s">
        <v>59</v>
      </c>
      <c r="E67" s="16" t="s">
        <v>60</v>
      </c>
      <c r="F67" s="89">
        <v>1.05</v>
      </c>
      <c r="G67" s="23">
        <v>45</v>
      </c>
      <c r="H67" s="23">
        <v>84</v>
      </c>
      <c r="I67" s="23">
        <f>SUM($G$67:$H$67)</f>
        <v>129</v>
      </c>
      <c r="J67" s="94">
        <f>VLOOKUP(B67,М[],6,0)</f>
        <v>0</v>
      </c>
      <c r="K67" s="21">
        <f>ROUND($I$67*$J$67,2)</f>
        <v>0</v>
      </c>
      <c r="L67" s="15"/>
      <c r="M67" s="15" t="s">
        <v>104</v>
      </c>
    </row>
    <row r="68" spans="1:13" outlineLevel="4" x14ac:dyDescent="0.2">
      <c r="A68" s="16" t="s">
        <v>58</v>
      </c>
      <c r="B68" s="78" t="s">
        <v>142</v>
      </c>
      <c r="C68" s="15"/>
      <c r="D68" s="58" t="s">
        <v>62</v>
      </c>
      <c r="E68" s="16" t="s">
        <v>63</v>
      </c>
      <c r="F68" s="89">
        <v>1</v>
      </c>
      <c r="G68" s="18">
        <v>54.31</v>
      </c>
      <c r="H68" s="18">
        <v>110.13</v>
      </c>
      <c r="I68" s="18">
        <f>SUM($G$68:$H$68)</f>
        <v>164.44</v>
      </c>
      <c r="J68" s="94">
        <f>VLOOKUP(B68,М[],6,0)</f>
        <v>0</v>
      </c>
      <c r="K68" s="21">
        <f>ROUND($I$68*$J$68,2)</f>
        <v>0</v>
      </c>
      <c r="L68" s="15"/>
      <c r="M68" s="15" t="s">
        <v>104</v>
      </c>
    </row>
    <row r="69" spans="1:13" outlineLevel="2" x14ac:dyDescent="0.2">
      <c r="A69" s="10" t="s">
        <v>73</v>
      </c>
      <c r="B69" s="74" t="s">
        <v>74</v>
      </c>
      <c r="C69" s="9"/>
      <c r="D69" s="9"/>
      <c r="E69" s="10"/>
      <c r="F69" s="11"/>
      <c r="G69" s="12"/>
      <c r="H69" s="12"/>
      <c r="I69" s="12"/>
      <c r="J69" s="44"/>
      <c r="K69" s="44">
        <f>SUM($K$70)</f>
        <v>0</v>
      </c>
      <c r="L69" s="13"/>
      <c r="M69" s="13"/>
    </row>
    <row r="70" spans="1:13" outlineLevel="3" x14ac:dyDescent="0.2">
      <c r="A70" s="10" t="s">
        <v>75</v>
      </c>
      <c r="B70" s="74" t="s">
        <v>74</v>
      </c>
      <c r="C70" s="9"/>
      <c r="D70" s="9"/>
      <c r="E70" s="10"/>
      <c r="F70" s="11"/>
      <c r="G70" s="12"/>
      <c r="H70" s="12"/>
      <c r="I70" s="12"/>
      <c r="J70" s="44"/>
      <c r="K70" s="44">
        <f>SUM($K$79,$K$77,$K$73,$K$71)</f>
        <v>0</v>
      </c>
      <c r="L70" s="13"/>
      <c r="M70" s="13"/>
    </row>
    <row r="71" spans="1:13" outlineLevel="4" x14ac:dyDescent="0.2">
      <c r="A71" s="75"/>
      <c r="B71" s="74" t="s">
        <v>22</v>
      </c>
      <c r="C71" s="14"/>
      <c r="D71" s="14"/>
      <c r="E71" s="14"/>
      <c r="F71" s="14"/>
      <c r="G71" s="14"/>
      <c r="H71" s="14"/>
      <c r="I71" s="14"/>
      <c r="J71" s="45"/>
      <c r="K71" s="46">
        <f>SUM($K$72)</f>
        <v>0</v>
      </c>
      <c r="L71" s="12"/>
      <c r="M71" s="12"/>
    </row>
    <row r="72" spans="1:13" ht="22.5" outlineLevel="4" x14ac:dyDescent="0.2">
      <c r="A72" s="16"/>
      <c r="B72" s="78" t="s">
        <v>76</v>
      </c>
      <c r="C72" s="15"/>
      <c r="D72" s="15"/>
      <c r="E72" s="16" t="s">
        <v>34</v>
      </c>
      <c r="F72" s="17"/>
      <c r="G72" s="18">
        <v>256.25</v>
      </c>
      <c r="H72" s="18">
        <v>404.09</v>
      </c>
      <c r="I72" s="18">
        <f>SUM($G$72:$H$72)</f>
        <v>660.33999999999992</v>
      </c>
      <c r="J72" s="21">
        <f t="array" ref="J72">INDEX(Р[Цена за ед., руб],MATCH(1,IF(($B72=Р[Наименование])*($L72=Р[Примечание]),{1},($B72=Р[Наименование])*($L72=Р[Примечание])),0))</f>
        <v>0</v>
      </c>
      <c r="K72" s="21">
        <f>ROUND($I$72*$J$72,2)</f>
        <v>0</v>
      </c>
      <c r="L72" s="15" t="s">
        <v>77</v>
      </c>
      <c r="M72" s="15"/>
    </row>
    <row r="73" spans="1:13" outlineLevel="4" x14ac:dyDescent="0.2">
      <c r="A73" s="75"/>
      <c r="B73" s="74" t="s">
        <v>25</v>
      </c>
      <c r="C73" s="14"/>
      <c r="D73" s="14"/>
      <c r="E73" s="14"/>
      <c r="F73" s="14"/>
      <c r="G73" s="14"/>
      <c r="H73" s="14"/>
      <c r="I73" s="14"/>
      <c r="J73" s="45"/>
      <c r="K73" s="46">
        <f>SUM($K$74:$K$76)</f>
        <v>0</v>
      </c>
      <c r="L73" s="12"/>
      <c r="M73" s="12"/>
    </row>
    <row r="74" spans="1:13" s="79" customFormat="1" outlineLevel="4" x14ac:dyDescent="0.2">
      <c r="A74" s="59" t="s">
        <v>26</v>
      </c>
      <c r="B74" s="78" t="s">
        <v>146</v>
      </c>
      <c r="C74" s="58"/>
      <c r="D74" s="58" t="s">
        <v>78</v>
      </c>
      <c r="E74" s="59" t="s">
        <v>34</v>
      </c>
      <c r="F74" s="48">
        <v>1.1000000000000001</v>
      </c>
      <c r="G74" s="60">
        <v>281.88</v>
      </c>
      <c r="H74" s="60">
        <v>444.49</v>
      </c>
      <c r="I74" s="60">
        <f>SUM($G$74:$H$74)</f>
        <v>726.37</v>
      </c>
      <c r="J74" s="94">
        <f>VLOOKUP(B74,М[],6,0)</f>
        <v>0</v>
      </c>
      <c r="K74" s="61">
        <f>ROUND($I$74*$J$74,2)</f>
        <v>0</v>
      </c>
      <c r="L74" s="58" t="s">
        <v>79</v>
      </c>
      <c r="M74" s="58" t="s">
        <v>104</v>
      </c>
    </row>
    <row r="75" spans="1:13" s="79" customFormat="1" outlineLevel="4" x14ac:dyDescent="0.2">
      <c r="A75" s="59" t="s">
        <v>30</v>
      </c>
      <c r="B75" s="78" t="s">
        <v>147</v>
      </c>
      <c r="C75" s="58"/>
      <c r="D75" s="58" t="s">
        <v>80</v>
      </c>
      <c r="E75" s="59" t="s">
        <v>63</v>
      </c>
      <c r="F75" s="48">
        <v>0.3</v>
      </c>
      <c r="G75" s="60">
        <f>G72*F75</f>
        <v>76.875</v>
      </c>
      <c r="H75" s="60">
        <f>H72*F75</f>
        <v>121.22699999999999</v>
      </c>
      <c r="I75" s="60">
        <f>SUM($G$75:$H$75)</f>
        <v>198.10199999999998</v>
      </c>
      <c r="J75" s="94">
        <f>VLOOKUP(B75,М[],6,0)</f>
        <v>0</v>
      </c>
      <c r="K75" s="61">
        <f>ROUND($I$75*$J$75,2)</f>
        <v>0</v>
      </c>
      <c r="L75" s="58" t="s">
        <v>81</v>
      </c>
      <c r="M75" s="58" t="s">
        <v>104</v>
      </c>
    </row>
    <row r="76" spans="1:13" outlineLevel="4" x14ac:dyDescent="0.2">
      <c r="A76" s="16" t="s">
        <v>32</v>
      </c>
      <c r="B76" s="78" t="s">
        <v>139</v>
      </c>
      <c r="C76" s="15"/>
      <c r="D76" s="58" t="s">
        <v>53</v>
      </c>
      <c r="E76" s="16" t="s">
        <v>54</v>
      </c>
      <c r="F76" s="90">
        <v>2.1749999999999998</v>
      </c>
      <c r="G76" s="23">
        <v>203</v>
      </c>
      <c r="H76" s="23">
        <v>344</v>
      </c>
      <c r="I76" s="23">
        <f>SUM($G$76:$H$76)</f>
        <v>547</v>
      </c>
      <c r="J76" s="94">
        <f>VLOOKUP(B76,М[],6,0)</f>
        <v>0</v>
      </c>
      <c r="K76" s="21">
        <f>ROUND($I$76*$J$76,2)</f>
        <v>0</v>
      </c>
      <c r="L76" s="15" t="s">
        <v>82</v>
      </c>
      <c r="M76" s="15" t="s">
        <v>104</v>
      </c>
    </row>
    <row r="77" spans="1:13" outlineLevel="4" x14ac:dyDescent="0.2">
      <c r="A77" s="75"/>
      <c r="B77" s="74" t="s">
        <v>22</v>
      </c>
      <c r="C77" s="14"/>
      <c r="D77" s="14"/>
      <c r="E77" s="14"/>
      <c r="F77" s="14"/>
      <c r="G77" s="14"/>
      <c r="H77" s="14"/>
      <c r="I77" s="14"/>
      <c r="J77" s="45"/>
      <c r="K77" s="46">
        <f>SUM($K$78)</f>
        <v>0</v>
      </c>
      <c r="L77" s="12"/>
      <c r="M77" s="12"/>
    </row>
    <row r="78" spans="1:13" ht="22.5" outlineLevel="4" x14ac:dyDescent="0.2">
      <c r="A78" s="16"/>
      <c r="B78" s="76" t="s">
        <v>83</v>
      </c>
      <c r="C78" s="15"/>
      <c r="D78" s="15"/>
      <c r="E78" s="16" t="s">
        <v>34</v>
      </c>
      <c r="F78" s="17"/>
      <c r="G78" s="20">
        <v>209.9</v>
      </c>
      <c r="H78" s="18">
        <v>331.07</v>
      </c>
      <c r="I78" s="18">
        <f>SUM($G$78:$H$78)</f>
        <v>540.97</v>
      </c>
      <c r="J78" s="21">
        <f t="array" ref="J78">INDEX(Р[Цена за ед., руб],MATCH(1,IF(($B78=Р[Наименование])*($L78=Р[Примечание]),{1},($B78=Р[Наименование])*($L78=Р[Примечание])),0))</f>
        <v>0</v>
      </c>
      <c r="K78" s="21">
        <f>ROUND($I$78*$J$78,2)</f>
        <v>0</v>
      </c>
      <c r="L78" s="15"/>
      <c r="M78" s="15"/>
    </row>
    <row r="79" spans="1:13" outlineLevel="4" x14ac:dyDescent="0.2">
      <c r="A79" s="75"/>
      <c r="B79" s="74" t="s">
        <v>25</v>
      </c>
      <c r="C79" s="14"/>
      <c r="D79" s="14"/>
      <c r="E79" s="14"/>
      <c r="F79" s="14"/>
      <c r="G79" s="14"/>
      <c r="H79" s="14"/>
      <c r="I79" s="14"/>
      <c r="J79" s="45"/>
      <c r="K79" s="46">
        <f>SUM($K$80:$K$84)</f>
        <v>0</v>
      </c>
      <c r="L79" s="12"/>
      <c r="M79" s="12"/>
    </row>
    <row r="80" spans="1:13" ht="33.75" outlineLevel="4" x14ac:dyDescent="0.2">
      <c r="A80" s="16" t="s">
        <v>26</v>
      </c>
      <c r="B80" s="78" t="s">
        <v>131</v>
      </c>
      <c r="C80" s="15"/>
      <c r="D80" s="58" t="s">
        <v>33</v>
      </c>
      <c r="E80" s="16" t="s">
        <v>34</v>
      </c>
      <c r="F80" s="89">
        <v>1.1000000000000001</v>
      </c>
      <c r="G80" s="18">
        <v>230.89</v>
      </c>
      <c r="H80" s="18">
        <v>364.18</v>
      </c>
      <c r="I80" s="18">
        <f>SUM($G$80:$H$80)</f>
        <v>595.06999999999994</v>
      </c>
      <c r="J80" s="94">
        <f>VLOOKUP(B80,М[],6,0)</f>
        <v>0</v>
      </c>
      <c r="K80" s="21">
        <f>ROUND($I$80*$J$80,2)</f>
        <v>0</v>
      </c>
      <c r="L80" s="15"/>
      <c r="M80" s="15" t="s">
        <v>104</v>
      </c>
    </row>
    <row r="81" spans="1:13" s="79" customFormat="1" ht="22.5" outlineLevel="4" x14ac:dyDescent="0.2">
      <c r="A81" s="59" t="s">
        <v>30</v>
      </c>
      <c r="B81" s="78" t="s">
        <v>148</v>
      </c>
      <c r="C81" s="58"/>
      <c r="D81" s="58" t="s">
        <v>84</v>
      </c>
      <c r="E81" s="59" t="s">
        <v>41</v>
      </c>
      <c r="F81" s="90">
        <v>0.35</v>
      </c>
      <c r="G81" s="60">
        <v>73.47</v>
      </c>
      <c r="H81" s="60">
        <v>115.87</v>
      </c>
      <c r="I81" s="60">
        <f>SUM($G$81:$H$81)</f>
        <v>189.34</v>
      </c>
      <c r="J81" s="94">
        <f>VLOOKUP(B81,М[],6,0)</f>
        <v>0</v>
      </c>
      <c r="K81" s="61">
        <f>ROUND($I$81*$J$81,2)</f>
        <v>0</v>
      </c>
      <c r="L81" s="58"/>
      <c r="M81" s="58" t="s">
        <v>104</v>
      </c>
    </row>
    <row r="82" spans="1:13" outlineLevel="4" x14ac:dyDescent="0.2">
      <c r="A82" s="16" t="s">
        <v>32</v>
      </c>
      <c r="B82" s="78" t="s">
        <v>136</v>
      </c>
      <c r="C82" s="15"/>
      <c r="D82" s="58" t="s">
        <v>48</v>
      </c>
      <c r="E82" s="16" t="s">
        <v>41</v>
      </c>
      <c r="F82" s="89">
        <v>460</v>
      </c>
      <c r="G82" s="21">
        <v>3862.16</v>
      </c>
      <c r="H82" s="21">
        <v>6091.69</v>
      </c>
      <c r="I82" s="21">
        <f>SUM($G$82:$H$82)</f>
        <v>9953.8499999999985</v>
      </c>
      <c r="J82" s="94">
        <f>VLOOKUP(B82,М[],6,0)</f>
        <v>0</v>
      </c>
      <c r="K82" s="21">
        <f>ROUND($I$82*$J$82,2)</f>
        <v>0</v>
      </c>
      <c r="L82" s="15"/>
      <c r="M82" s="15" t="s">
        <v>104</v>
      </c>
    </row>
    <row r="83" spans="1:13" ht="33.75" outlineLevel="4" x14ac:dyDescent="0.2">
      <c r="A83" s="16" t="s">
        <v>50</v>
      </c>
      <c r="B83" s="78" t="s">
        <v>137</v>
      </c>
      <c r="C83" s="15"/>
      <c r="D83" s="58" t="s">
        <v>49</v>
      </c>
      <c r="E83" s="16" t="s">
        <v>29</v>
      </c>
      <c r="F83" s="89">
        <v>1.7230000000000001</v>
      </c>
      <c r="G83" s="18">
        <v>14.46</v>
      </c>
      <c r="H83" s="18">
        <v>22.81</v>
      </c>
      <c r="I83" s="18">
        <f>SUM($G$83:$H$83)</f>
        <v>37.269999999999996</v>
      </c>
      <c r="J83" s="94">
        <f>VLOOKUP(B83,М[],6,0)</f>
        <v>0</v>
      </c>
      <c r="K83" s="21">
        <f>ROUND($I$83*$J$83,2)</f>
        <v>0</v>
      </c>
      <c r="L83" s="15"/>
      <c r="M83" s="15" t="s">
        <v>104</v>
      </c>
    </row>
    <row r="84" spans="1:13" outlineLevel="4" x14ac:dyDescent="0.2">
      <c r="A84" s="16" t="s">
        <v>52</v>
      </c>
      <c r="B84" s="78" t="s">
        <v>142</v>
      </c>
      <c r="C84" s="15"/>
      <c r="D84" s="58" t="s">
        <v>62</v>
      </c>
      <c r="E84" s="16" t="s">
        <v>63</v>
      </c>
      <c r="F84" s="89">
        <v>1</v>
      </c>
      <c r="G84" s="20">
        <v>8.4</v>
      </c>
      <c r="H84" s="18">
        <v>13.24</v>
      </c>
      <c r="I84" s="18">
        <f>SUM($G$84:$H$84)</f>
        <v>21.64</v>
      </c>
      <c r="J84" s="94">
        <f>VLOOKUP(B84,М[],6,0)</f>
        <v>0</v>
      </c>
      <c r="K84" s="21">
        <f>ROUND($I$84*$J$84,2)</f>
        <v>0</v>
      </c>
      <c r="L84" s="15"/>
      <c r="M84" s="15" t="s">
        <v>104</v>
      </c>
    </row>
    <row r="85" spans="1:13" outlineLevel="2" x14ac:dyDescent="0.2">
      <c r="A85" s="10" t="s">
        <v>85</v>
      </c>
      <c r="B85" s="74" t="s">
        <v>86</v>
      </c>
      <c r="C85" s="9"/>
      <c r="D85" s="9"/>
      <c r="E85" s="10"/>
      <c r="F85" s="11"/>
      <c r="G85" s="12"/>
      <c r="H85" s="12"/>
      <c r="I85" s="12"/>
      <c r="J85" s="44"/>
      <c r="K85" s="44">
        <f>SUM($K$86)</f>
        <v>0</v>
      </c>
      <c r="L85" s="13"/>
      <c r="M85" s="13"/>
    </row>
    <row r="86" spans="1:13" outlineLevel="3" x14ac:dyDescent="0.2">
      <c r="A86" s="10" t="s">
        <v>87</v>
      </c>
      <c r="B86" s="74" t="s">
        <v>86</v>
      </c>
      <c r="C86" s="9"/>
      <c r="D86" s="9"/>
      <c r="E86" s="10"/>
      <c r="F86" s="11"/>
      <c r="G86" s="12"/>
      <c r="H86" s="12"/>
      <c r="I86" s="12"/>
      <c r="J86" s="44"/>
      <c r="K86" s="44">
        <f>SUM($K$89,$K$87)</f>
        <v>0</v>
      </c>
      <c r="L86" s="13"/>
      <c r="M86" s="13"/>
    </row>
    <row r="87" spans="1:13" outlineLevel="4" x14ac:dyDescent="0.2">
      <c r="A87" s="75"/>
      <c r="B87" s="74" t="s">
        <v>22</v>
      </c>
      <c r="C87" s="14"/>
      <c r="D87" s="14"/>
      <c r="E87" s="14"/>
      <c r="F87" s="14"/>
      <c r="G87" s="14"/>
      <c r="H87" s="14"/>
      <c r="I87" s="14"/>
      <c r="J87" s="45"/>
      <c r="K87" s="46">
        <f>SUM($K$88)</f>
        <v>0</v>
      </c>
      <c r="L87" s="12"/>
      <c r="M87" s="12"/>
    </row>
    <row r="88" spans="1:13" ht="22.5" outlineLevel="4" x14ac:dyDescent="0.2">
      <c r="A88" s="16"/>
      <c r="B88" s="76" t="s">
        <v>88</v>
      </c>
      <c r="C88" s="15"/>
      <c r="D88" s="15"/>
      <c r="E88" s="16" t="s">
        <v>38</v>
      </c>
      <c r="F88" s="17"/>
      <c r="G88" s="20">
        <v>26.4</v>
      </c>
      <c r="H88" s="20">
        <v>46.8</v>
      </c>
      <c r="I88" s="20">
        <f>SUM($G$88:$H$88)</f>
        <v>73.199999999999989</v>
      </c>
      <c r="J88" s="21">
        <f t="array" ref="J88">INDEX(Р[Цена за ед., руб],MATCH(1,IF(($B88=Р[Наименование])*($L88=Р[Примечание]),{1},($B88=Р[Наименование])*($L88=Р[Примечание])),0))</f>
        <v>0</v>
      </c>
      <c r="K88" s="21">
        <f>ROUND($I$88*$J$88,2)</f>
        <v>0</v>
      </c>
      <c r="L88" s="15"/>
      <c r="M88" s="15"/>
    </row>
    <row r="89" spans="1:13" outlineLevel="4" x14ac:dyDescent="0.2">
      <c r="A89" s="75"/>
      <c r="B89" s="74" t="s">
        <v>25</v>
      </c>
      <c r="C89" s="14"/>
      <c r="D89" s="14"/>
      <c r="E89" s="14"/>
      <c r="F89" s="14"/>
      <c r="G89" s="14"/>
      <c r="H89" s="14"/>
      <c r="I89" s="14"/>
      <c r="J89" s="45"/>
      <c r="K89" s="46">
        <f>SUM($K$90:$K$93)</f>
        <v>0</v>
      </c>
      <c r="L89" s="12"/>
      <c r="M89" s="12"/>
    </row>
    <row r="90" spans="1:13" outlineLevel="4" x14ac:dyDescent="0.2">
      <c r="A90" s="16" t="s">
        <v>26</v>
      </c>
      <c r="B90" s="78" t="s">
        <v>149</v>
      </c>
      <c r="C90" s="15"/>
      <c r="D90" s="58" t="s">
        <v>89</v>
      </c>
      <c r="E90" s="16" t="s">
        <v>41</v>
      </c>
      <c r="F90" s="89">
        <v>1.04</v>
      </c>
      <c r="G90" s="18">
        <v>132.06</v>
      </c>
      <c r="H90" s="18">
        <v>234.11</v>
      </c>
      <c r="I90" s="18">
        <f>SUM($G$90:$H$90)</f>
        <v>366.17</v>
      </c>
      <c r="J90" s="94">
        <f>VLOOKUP(B90,М[],6,0)</f>
        <v>0</v>
      </c>
      <c r="K90" s="21">
        <f>ROUND($I$90*$J$90,2)</f>
        <v>0</v>
      </c>
      <c r="L90" s="15"/>
      <c r="M90" s="15" t="s">
        <v>104</v>
      </c>
    </row>
    <row r="91" spans="1:13" outlineLevel="4" x14ac:dyDescent="0.2">
      <c r="A91" s="16" t="s">
        <v>30</v>
      </c>
      <c r="B91" s="78" t="s">
        <v>150</v>
      </c>
      <c r="C91" s="15"/>
      <c r="D91" s="58" t="s">
        <v>90</v>
      </c>
      <c r="E91" s="16" t="s">
        <v>41</v>
      </c>
      <c r="F91" s="89">
        <v>0.08</v>
      </c>
      <c r="G91" s="18">
        <v>0.53</v>
      </c>
      <c r="H91" s="18">
        <v>0.94</v>
      </c>
      <c r="I91" s="18">
        <f>SUM($G$91:$H$91)</f>
        <v>1.47</v>
      </c>
      <c r="J91" s="94">
        <f>VLOOKUP(B91,М[],6,0)</f>
        <v>0</v>
      </c>
      <c r="K91" s="21">
        <f>ROUND($I$91*$J$91,2)</f>
        <v>0</v>
      </c>
      <c r="L91" s="15"/>
      <c r="M91" s="15" t="s">
        <v>104</v>
      </c>
    </row>
    <row r="92" spans="1:13" outlineLevel="4" x14ac:dyDescent="0.2">
      <c r="A92" s="16" t="s">
        <v>32</v>
      </c>
      <c r="B92" s="78" t="s">
        <v>151</v>
      </c>
      <c r="C92" s="15"/>
      <c r="D92" s="58" t="s">
        <v>91</v>
      </c>
      <c r="E92" s="16" t="s">
        <v>41</v>
      </c>
      <c r="F92" s="89">
        <v>0.02</v>
      </c>
      <c r="G92" s="18">
        <v>2.64</v>
      </c>
      <c r="H92" s="18">
        <v>4.68</v>
      </c>
      <c r="I92" s="18">
        <f>SUM($G$92:$H$92)</f>
        <v>7.32</v>
      </c>
      <c r="J92" s="94">
        <f>VLOOKUP(B92,М[],6,0)</f>
        <v>0</v>
      </c>
      <c r="K92" s="21">
        <f>ROUND($I$92*$J$92,2)</f>
        <v>0</v>
      </c>
      <c r="L92" s="15"/>
      <c r="M92" s="15" t="s">
        <v>104</v>
      </c>
    </row>
    <row r="93" spans="1:13" ht="22.5" outlineLevel="4" x14ac:dyDescent="0.2">
      <c r="A93" s="16" t="s">
        <v>50</v>
      </c>
      <c r="B93" s="78" t="s">
        <v>152</v>
      </c>
      <c r="C93" s="15"/>
      <c r="D93" s="58" t="s">
        <v>92</v>
      </c>
      <c r="E93" s="16" t="s">
        <v>63</v>
      </c>
      <c r="F93" s="89">
        <v>0.3</v>
      </c>
      <c r="G93" s="23">
        <v>2</v>
      </c>
      <c r="H93" s="18">
        <v>3.54</v>
      </c>
      <c r="I93" s="18">
        <f>SUM($G$93:$H$93)</f>
        <v>5.54</v>
      </c>
      <c r="J93" s="94">
        <f>VLOOKUP(B93,М[],6,0)</f>
        <v>0</v>
      </c>
      <c r="K93" s="21">
        <f>ROUND($I$93*$J$93,2)</f>
        <v>0</v>
      </c>
      <c r="L93" s="15"/>
      <c r="M93" s="15" t="s">
        <v>104</v>
      </c>
    </row>
    <row r="94" spans="1:13" x14ac:dyDescent="0.2">
      <c r="A94" s="81"/>
      <c r="B94" s="82"/>
      <c r="C94" s="82"/>
      <c r="D94" s="82"/>
      <c r="E94" s="82"/>
      <c r="F94" s="82"/>
      <c r="G94" s="83"/>
      <c r="H94" s="83"/>
      <c r="I94" s="101" t="s">
        <v>93</v>
      </c>
      <c r="J94" s="117"/>
      <c r="K94" s="47">
        <f>$K$9</f>
        <v>0</v>
      </c>
      <c r="L94" s="84"/>
      <c r="M94" s="84"/>
    </row>
    <row r="95" spans="1:13" x14ac:dyDescent="0.2">
      <c r="A95" s="81"/>
      <c r="B95" s="82"/>
      <c r="C95" s="82"/>
      <c r="D95" s="82"/>
      <c r="E95" s="82"/>
      <c r="F95" s="82"/>
      <c r="G95" s="83"/>
      <c r="H95" s="83"/>
      <c r="I95" s="100" t="s">
        <v>153</v>
      </c>
      <c r="J95" s="101"/>
      <c r="K95" s="47"/>
      <c r="L95" s="84"/>
      <c r="M95" s="84"/>
    </row>
    <row r="96" spans="1:13" x14ac:dyDescent="0.2">
      <c r="A96" s="81"/>
      <c r="B96" s="82"/>
      <c r="C96" s="82"/>
      <c r="D96" s="82"/>
      <c r="E96" s="82"/>
      <c r="F96" s="82"/>
      <c r="G96" s="85"/>
      <c r="H96" s="85"/>
      <c r="I96" s="118" t="s">
        <v>94</v>
      </c>
      <c r="J96" s="119"/>
      <c r="K96" s="47">
        <f>SUM($K$87,$K$77,$K$71,$K$59,$K$48,$K$38,$K$27,$K$23,$K$18,$K$12)</f>
        <v>0</v>
      </c>
      <c r="L96" s="84"/>
      <c r="M96" s="84"/>
    </row>
    <row r="97" spans="1:16" x14ac:dyDescent="0.2">
      <c r="A97" s="81"/>
      <c r="B97" s="82"/>
      <c r="C97" s="82"/>
      <c r="D97" s="82"/>
      <c r="E97" s="82"/>
      <c r="F97" s="82"/>
      <c r="G97" s="85"/>
      <c r="H97" s="85"/>
      <c r="I97" s="118" t="s">
        <v>95</v>
      </c>
      <c r="J97" s="119"/>
      <c r="K97" s="47">
        <f>SUM($K$89,$K$79,$K$73,$K$61,$K$50,$K$40,$K$29,$K$25,$K$20,$K$14)</f>
        <v>0</v>
      </c>
      <c r="L97" s="84"/>
      <c r="M97" s="84"/>
    </row>
    <row r="98" spans="1:16" x14ac:dyDescent="0.2">
      <c r="A98" s="86"/>
      <c r="B98" s="120" t="s">
        <v>96</v>
      </c>
      <c r="C98" s="120"/>
      <c r="D98" s="120"/>
      <c r="E98" s="120"/>
      <c r="F98" s="120"/>
      <c r="G98" s="120"/>
      <c r="H98" s="120"/>
      <c r="I98" s="120"/>
      <c r="J98" s="121"/>
      <c r="K98" s="121"/>
      <c r="L98" s="120"/>
      <c r="M98" s="86"/>
    </row>
    <row r="99" spans="1:16" x14ac:dyDescent="0.2">
      <c r="B99" s="122"/>
      <c r="C99" s="122"/>
      <c r="D99" s="122"/>
      <c r="E99" s="122"/>
      <c r="F99" s="122"/>
      <c r="G99" s="122"/>
      <c r="H99" s="122"/>
      <c r="I99" s="122"/>
      <c r="J99" s="123"/>
      <c r="K99" s="123"/>
      <c r="L99" s="122"/>
    </row>
    <row r="102" spans="1:16" x14ac:dyDescent="0.2">
      <c r="A102" s="62"/>
      <c r="B102" s="69" t="s">
        <v>112</v>
      </c>
      <c r="C102" s="50"/>
      <c r="D102" s="50"/>
      <c r="E102" s="50"/>
      <c r="F102" s="55"/>
      <c r="G102" s="56"/>
      <c r="H102" s="51"/>
      <c r="I102" s="57"/>
      <c r="J102" s="51"/>
      <c r="K102" s="51"/>
      <c r="L102" s="51"/>
      <c r="M102" s="51"/>
      <c r="N102" s="52"/>
      <c r="O102" s="51"/>
      <c r="P102" s="51"/>
    </row>
    <row r="103" spans="1:16" ht="24.75" customHeight="1" x14ac:dyDescent="0.2">
      <c r="A103" s="62"/>
      <c r="B103" s="112" t="s">
        <v>113</v>
      </c>
      <c r="C103" s="112"/>
      <c r="D103" s="112"/>
      <c r="E103" s="112"/>
      <c r="F103" s="112"/>
      <c r="G103" s="112"/>
      <c r="H103" s="112"/>
      <c r="I103" s="112"/>
      <c r="J103" s="112"/>
      <c r="K103" s="112"/>
      <c r="L103" s="112"/>
      <c r="M103" s="112"/>
      <c r="N103" s="53"/>
      <c r="O103" s="53"/>
      <c r="P103" s="53"/>
    </row>
    <row r="104" spans="1:16" x14ac:dyDescent="0.2">
      <c r="A104" s="62"/>
      <c r="B104" s="69" t="s">
        <v>114</v>
      </c>
      <c r="C104" s="50"/>
      <c r="D104" s="50"/>
      <c r="E104" s="50"/>
      <c r="F104" s="55"/>
      <c r="G104" s="56"/>
      <c r="H104" s="51"/>
      <c r="I104" s="57"/>
      <c r="J104" s="51"/>
      <c r="K104" s="51"/>
      <c r="L104" s="51"/>
      <c r="M104" s="51"/>
      <c r="N104" s="52"/>
      <c r="O104" s="51"/>
      <c r="P104" s="51"/>
    </row>
    <row r="105" spans="1:16" x14ac:dyDescent="0.2">
      <c r="A105" s="62"/>
      <c r="B105" s="69" t="s">
        <v>115</v>
      </c>
      <c r="C105" s="50"/>
      <c r="D105" s="50"/>
      <c r="E105" s="50"/>
      <c r="F105" s="55"/>
      <c r="G105" s="56"/>
      <c r="H105" s="51"/>
      <c r="I105" s="57"/>
      <c r="J105" s="51"/>
      <c r="K105" s="51"/>
      <c r="L105" s="51"/>
      <c r="M105" s="51"/>
      <c r="N105" s="52"/>
      <c r="O105" s="51"/>
      <c r="P105" s="51"/>
    </row>
    <row r="106" spans="1:16" x14ac:dyDescent="0.2">
      <c r="A106" s="54">
        <v>1</v>
      </c>
      <c r="B106" s="62" t="s">
        <v>116</v>
      </c>
      <c r="C106" s="62"/>
      <c r="D106" s="62"/>
      <c r="E106" s="62"/>
      <c r="F106" s="62"/>
      <c r="G106" s="62"/>
      <c r="H106" s="62"/>
      <c r="I106" s="62"/>
      <c r="J106" s="62"/>
      <c r="K106" s="62"/>
      <c r="L106" s="62"/>
      <c r="M106" s="62"/>
      <c r="N106" s="62"/>
      <c r="O106" s="62"/>
      <c r="P106" s="62"/>
    </row>
    <row r="107" spans="1:16" x14ac:dyDescent="0.2">
      <c r="A107" s="54">
        <v>2</v>
      </c>
      <c r="B107" s="62" t="s">
        <v>117</v>
      </c>
      <c r="C107" s="62"/>
      <c r="D107" s="62"/>
      <c r="E107" s="62"/>
      <c r="F107" s="62"/>
      <c r="G107" s="62"/>
      <c r="H107" s="62"/>
      <c r="I107" s="62"/>
      <c r="J107" s="62"/>
      <c r="K107" s="62"/>
      <c r="L107" s="62"/>
      <c r="M107" s="62"/>
      <c r="N107" s="62"/>
      <c r="O107" s="62"/>
      <c r="P107" s="62"/>
    </row>
    <row r="108" spans="1:16" x14ac:dyDescent="0.2">
      <c r="A108" s="54">
        <v>3</v>
      </c>
      <c r="B108" s="62" t="s">
        <v>118</v>
      </c>
      <c r="C108" s="62"/>
      <c r="D108" s="62"/>
      <c r="E108" s="62"/>
      <c r="F108" s="62"/>
      <c r="G108" s="62"/>
      <c r="H108" s="62"/>
      <c r="I108" s="62"/>
      <c r="J108" s="62"/>
      <c r="K108" s="62"/>
      <c r="L108" s="62"/>
      <c r="M108" s="62"/>
      <c r="N108" s="62"/>
      <c r="O108" s="62"/>
      <c r="P108" s="62"/>
    </row>
    <row r="109" spans="1:16" x14ac:dyDescent="0.2">
      <c r="A109" s="54">
        <v>4</v>
      </c>
      <c r="B109" s="62" t="s">
        <v>119</v>
      </c>
      <c r="C109" s="62"/>
      <c r="D109" s="62"/>
      <c r="E109" s="62"/>
      <c r="F109" s="62"/>
      <c r="G109" s="62"/>
      <c r="H109" s="62"/>
      <c r="I109" s="62"/>
      <c r="J109" s="62"/>
      <c r="K109" s="62"/>
      <c r="L109" s="62"/>
      <c r="M109" s="62"/>
      <c r="N109" s="62"/>
      <c r="O109" s="62"/>
      <c r="P109" s="62"/>
    </row>
    <row r="110" spans="1:16" x14ac:dyDescent="0.2">
      <c r="A110" s="54">
        <v>5</v>
      </c>
      <c r="B110" s="62" t="s">
        <v>120</v>
      </c>
      <c r="C110" s="62"/>
      <c r="D110" s="62"/>
      <c r="E110" s="62"/>
      <c r="F110" s="62"/>
      <c r="G110" s="62"/>
      <c r="H110" s="62"/>
      <c r="I110" s="62"/>
      <c r="J110" s="62"/>
      <c r="K110" s="62"/>
      <c r="L110" s="62"/>
      <c r="M110" s="62"/>
      <c r="N110" s="62"/>
      <c r="O110" s="62"/>
      <c r="P110" s="62"/>
    </row>
    <row r="111" spans="1:16" x14ac:dyDescent="0.2">
      <c r="A111" s="54">
        <v>6</v>
      </c>
      <c r="B111" s="62" t="s">
        <v>121</v>
      </c>
      <c r="C111" s="62"/>
      <c r="D111" s="62"/>
      <c r="E111" s="62"/>
      <c r="F111" s="62"/>
      <c r="G111" s="62"/>
      <c r="H111" s="62"/>
      <c r="I111" s="62"/>
      <c r="J111" s="62"/>
      <c r="K111" s="62"/>
      <c r="L111" s="62"/>
      <c r="M111" s="62"/>
      <c r="N111" s="62"/>
      <c r="O111" s="62"/>
      <c r="P111" s="62"/>
    </row>
    <row r="112" spans="1:16" x14ac:dyDescent="0.2">
      <c r="A112" s="54">
        <v>7</v>
      </c>
      <c r="B112" s="62" t="s">
        <v>88</v>
      </c>
      <c r="C112" s="54"/>
      <c r="D112" s="54"/>
      <c r="E112" s="54"/>
      <c r="F112" s="56"/>
      <c r="G112" s="56"/>
      <c r="H112" s="51"/>
      <c r="I112" s="57"/>
      <c r="J112" s="51"/>
      <c r="K112" s="51"/>
      <c r="L112" s="51"/>
      <c r="M112" s="51"/>
      <c r="N112" s="52"/>
      <c r="O112" s="51"/>
      <c r="P112" s="51"/>
    </row>
    <row r="113" spans="1:16" x14ac:dyDescent="0.2">
      <c r="A113" s="54">
        <v>8</v>
      </c>
      <c r="B113" s="63" t="s">
        <v>122</v>
      </c>
      <c r="C113" s="63"/>
      <c r="D113" s="63"/>
      <c r="E113" s="63"/>
      <c r="F113" s="64"/>
      <c r="G113" s="64"/>
      <c r="H113" s="63"/>
      <c r="I113" s="65"/>
      <c r="J113" s="63"/>
      <c r="K113" s="63"/>
      <c r="L113" s="63"/>
      <c r="M113" s="63"/>
      <c r="N113" s="63"/>
      <c r="O113" s="63"/>
      <c r="P113" s="63"/>
    </row>
    <row r="114" spans="1:16" x14ac:dyDescent="0.2">
      <c r="A114" s="66">
        <v>9</v>
      </c>
      <c r="B114" s="110" t="s">
        <v>123</v>
      </c>
      <c r="C114" s="110"/>
      <c r="D114" s="110"/>
      <c r="E114" s="110"/>
      <c r="F114" s="110"/>
      <c r="G114" s="110"/>
      <c r="H114" s="110"/>
      <c r="I114" s="110"/>
      <c r="J114" s="110"/>
      <c r="K114" s="110"/>
      <c r="L114" s="110"/>
      <c r="M114" s="110"/>
      <c r="N114" s="49"/>
      <c r="O114" s="49"/>
      <c r="P114" s="49"/>
    </row>
    <row r="115" spans="1:16" x14ac:dyDescent="0.2">
      <c r="A115" s="67">
        <v>10</v>
      </c>
      <c r="B115" s="49" t="s">
        <v>124</v>
      </c>
      <c r="C115" s="49"/>
      <c r="D115" s="49"/>
      <c r="E115" s="49"/>
      <c r="F115" s="49"/>
      <c r="G115" s="49"/>
      <c r="H115" s="49"/>
      <c r="I115" s="49"/>
      <c r="J115" s="49"/>
      <c r="K115" s="49"/>
      <c r="L115" s="49"/>
      <c r="M115" s="49"/>
      <c r="N115" s="49"/>
      <c r="O115" s="49"/>
      <c r="P115" s="49"/>
    </row>
    <row r="116" spans="1:16" x14ac:dyDescent="0.2">
      <c r="A116" s="68">
        <v>11</v>
      </c>
      <c r="B116" s="111" t="s">
        <v>125</v>
      </c>
      <c r="C116" s="111"/>
      <c r="D116" s="111"/>
      <c r="E116" s="111"/>
      <c r="F116" s="111"/>
      <c r="G116" s="111"/>
      <c r="H116" s="111"/>
      <c r="I116" s="111"/>
      <c r="J116" s="111"/>
      <c r="K116" s="111"/>
      <c r="L116" s="111"/>
      <c r="M116" s="111"/>
      <c r="N116" s="49"/>
      <c r="O116" s="49"/>
      <c r="P116" s="49"/>
    </row>
    <row r="117" spans="1:16" x14ac:dyDescent="0.2">
      <c r="A117" s="67">
        <v>12</v>
      </c>
      <c r="B117" s="49" t="s">
        <v>126</v>
      </c>
      <c r="C117" s="49"/>
      <c r="D117" s="49"/>
      <c r="E117" s="49"/>
      <c r="F117" s="49"/>
      <c r="G117" s="49"/>
      <c r="H117" s="49"/>
      <c r="I117" s="49"/>
      <c r="J117" s="49"/>
      <c r="K117" s="49"/>
      <c r="L117" s="49"/>
      <c r="M117" s="49"/>
      <c r="N117" s="49"/>
      <c r="O117" s="49"/>
      <c r="P117" s="49"/>
    </row>
  </sheetData>
  <autoFilter ref="A6:M98" xr:uid="{00000000-0001-0000-0000-000000000000}"/>
  <mergeCells count="25">
    <mergeCell ref="B114:M114"/>
    <mergeCell ref="B116:M116"/>
    <mergeCell ref="B103:M103"/>
    <mergeCell ref="A6:A7"/>
    <mergeCell ref="B6:B7"/>
    <mergeCell ref="C6:C7"/>
    <mergeCell ref="D6:D7"/>
    <mergeCell ref="E6:E7"/>
    <mergeCell ref="M6:M7"/>
    <mergeCell ref="I94:J94"/>
    <mergeCell ref="I96:J96"/>
    <mergeCell ref="I97:J97"/>
    <mergeCell ref="B98:L98"/>
    <mergeCell ref="B99:L99"/>
    <mergeCell ref="K6:K7"/>
    <mergeCell ref="L6:L7"/>
    <mergeCell ref="I95:J95"/>
    <mergeCell ref="B2:J2"/>
    <mergeCell ref="B3:J3"/>
    <mergeCell ref="B4:J4"/>
    <mergeCell ref="F6:F7"/>
    <mergeCell ref="G6:G7"/>
    <mergeCell ref="H6:H7"/>
    <mergeCell ref="I6:I7"/>
    <mergeCell ref="J6:J7"/>
  </mergeCells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F15"/>
  <sheetViews>
    <sheetView workbookViewId="0">
      <pane ySplit="3" topLeftCell="A4" activePane="bottomLeft" state="frozen"/>
      <selection pane="bottomLeft" activeCell="F23" sqref="F23"/>
    </sheetView>
  </sheetViews>
  <sheetFormatPr defaultColWidth="10.5" defaultRowHeight="11.45" customHeight="1" x14ac:dyDescent="0.2"/>
  <cols>
    <col min="1" max="1" width="57.33203125" style="1" customWidth="1"/>
    <col min="2" max="2" width="10.6640625" style="1" customWidth="1"/>
    <col min="3" max="3" width="14.6640625" style="1" customWidth="1"/>
    <col min="4" max="4" width="18.33203125" style="1" customWidth="1"/>
    <col min="5" max="5" width="17" style="1" customWidth="1"/>
    <col min="6" max="6" width="36.33203125" style="1" customWidth="1"/>
  </cols>
  <sheetData>
    <row r="1" spans="1:6" ht="11.1" customHeight="1" x14ac:dyDescent="0.2">
      <c r="A1" s="124" t="s">
        <v>97</v>
      </c>
      <c r="B1" s="124"/>
      <c r="C1" s="124"/>
      <c r="D1" s="124"/>
      <c r="E1" s="124"/>
      <c r="F1" s="124"/>
    </row>
    <row r="3" spans="1:6" ht="11.1" customHeight="1" x14ac:dyDescent="0.2">
      <c r="A3" s="31" t="s">
        <v>3</v>
      </c>
      <c r="B3" s="2" t="s">
        <v>6</v>
      </c>
      <c r="C3" s="2" t="s">
        <v>10</v>
      </c>
      <c r="D3" s="38" t="s">
        <v>11</v>
      </c>
      <c r="E3" s="38" t="s">
        <v>12</v>
      </c>
      <c r="F3" s="32" t="s">
        <v>13</v>
      </c>
    </row>
    <row r="4" spans="1:6" ht="11.1" customHeight="1" x14ac:dyDescent="0.2">
      <c r="A4" s="29" t="s">
        <v>23</v>
      </c>
      <c r="B4" s="25" t="s">
        <v>24</v>
      </c>
      <c r="C4" s="26">
        <v>5.98</v>
      </c>
      <c r="D4" s="28"/>
      <c r="E4" s="28">
        <f>ROUND(Р[[#This Row],[Количество]]*Р[[#This Row],[Цена за ед., руб]],2)</f>
        <v>0</v>
      </c>
      <c r="F4" s="30"/>
    </row>
    <row r="5" spans="1:6" ht="11.1" customHeight="1" x14ac:dyDescent="0.2">
      <c r="A5" s="29" t="s">
        <v>35</v>
      </c>
      <c r="B5" s="25" t="s">
        <v>34</v>
      </c>
      <c r="C5" s="28">
        <v>2574.31</v>
      </c>
      <c r="D5" s="28"/>
      <c r="E5" s="28">
        <f>ROUND(Р[[#This Row],[Количество]]*Р[[#This Row],[Цена за ед., руб]],2)</f>
        <v>0</v>
      </c>
      <c r="F5" s="30" t="s">
        <v>36</v>
      </c>
    </row>
    <row r="6" spans="1:6" ht="11.1" customHeight="1" x14ac:dyDescent="0.2">
      <c r="A6" s="29" t="s">
        <v>42</v>
      </c>
      <c r="B6" s="25" t="s">
        <v>34</v>
      </c>
      <c r="C6" s="28">
        <v>4925.67</v>
      </c>
      <c r="D6" s="28"/>
      <c r="E6" s="28">
        <f>ROUND(Р[[#This Row],[Количество]]*Р[[#This Row],[Цена за ед., руб]],2)</f>
        <v>0</v>
      </c>
      <c r="F6" s="30"/>
    </row>
    <row r="7" spans="1:6" ht="59.1" customHeight="1" x14ac:dyDescent="0.2">
      <c r="A7" s="29" t="s">
        <v>44</v>
      </c>
      <c r="B7" s="25" t="s">
        <v>34</v>
      </c>
      <c r="C7" s="28">
        <v>11405.61</v>
      </c>
      <c r="D7" s="28"/>
      <c r="E7" s="28">
        <f>ROUND(Р[[#This Row],[Количество]]*Р[[#This Row],[Цена за ед., руб]],2)</f>
        <v>0</v>
      </c>
      <c r="F7" s="30" t="s">
        <v>45</v>
      </c>
    </row>
    <row r="8" spans="1:6" ht="71.099999999999994" customHeight="1" x14ac:dyDescent="0.2">
      <c r="A8" s="29" t="s">
        <v>64</v>
      </c>
      <c r="B8" s="25" t="s">
        <v>34</v>
      </c>
      <c r="C8" s="26">
        <v>936.95</v>
      </c>
      <c r="D8" s="28"/>
      <c r="E8" s="28">
        <f>ROUND(Р[[#This Row],[Количество]]*Р[[#This Row],[Цена за ед., руб]],2)</f>
        <v>0</v>
      </c>
      <c r="F8" s="30" t="s">
        <v>65</v>
      </c>
    </row>
    <row r="9" spans="1:6" ht="71.099999999999994" customHeight="1" x14ac:dyDescent="0.2">
      <c r="A9" s="29" t="s">
        <v>67</v>
      </c>
      <c r="B9" s="25" t="s">
        <v>34</v>
      </c>
      <c r="C9" s="26">
        <v>90.56</v>
      </c>
      <c r="D9" s="28"/>
      <c r="E9" s="28">
        <f>ROUND(Р[[#This Row],[Количество]]*Р[[#This Row],[Цена за ед., руб]],2)</f>
        <v>0</v>
      </c>
      <c r="F9" s="30" t="s">
        <v>68</v>
      </c>
    </row>
    <row r="10" spans="1:6" ht="71.099999999999994" customHeight="1" x14ac:dyDescent="0.2">
      <c r="A10" s="29" t="s">
        <v>70</v>
      </c>
      <c r="B10" s="25" t="s">
        <v>34</v>
      </c>
      <c r="C10" s="28">
        <v>2101.66</v>
      </c>
      <c r="D10" s="28"/>
      <c r="E10" s="28">
        <f>ROUND(Р[[#This Row],[Количество]]*Р[[#This Row],[Цена за ед., руб]],2)</f>
        <v>0</v>
      </c>
      <c r="F10" s="30" t="s">
        <v>71</v>
      </c>
    </row>
    <row r="11" spans="1:6" ht="11.1" customHeight="1" x14ac:dyDescent="0.2">
      <c r="A11" s="29" t="s">
        <v>76</v>
      </c>
      <c r="B11" s="25" t="s">
        <v>34</v>
      </c>
      <c r="C11" s="26">
        <v>660.34</v>
      </c>
      <c r="D11" s="28"/>
      <c r="E11" s="28">
        <f>ROUND(Р[[#This Row],[Количество]]*Р[[#This Row],[Цена за ед., руб]],2)</f>
        <v>0</v>
      </c>
      <c r="F11" s="30" t="s">
        <v>77</v>
      </c>
    </row>
    <row r="12" spans="1:6" ht="11.1" customHeight="1" x14ac:dyDescent="0.2">
      <c r="A12" s="29" t="s">
        <v>83</v>
      </c>
      <c r="B12" s="25" t="s">
        <v>34</v>
      </c>
      <c r="C12" s="26">
        <v>540.97</v>
      </c>
      <c r="D12" s="28"/>
      <c r="E12" s="28">
        <f>ROUND(Р[[#This Row],[Количество]]*Р[[#This Row],[Цена за ед., руб]],2)</f>
        <v>0</v>
      </c>
      <c r="F12" s="30"/>
    </row>
    <row r="13" spans="1:6" ht="11.1" customHeight="1" x14ac:dyDescent="0.2">
      <c r="A13" s="33" t="s">
        <v>88</v>
      </c>
      <c r="B13" s="34" t="s">
        <v>38</v>
      </c>
      <c r="C13" s="35">
        <v>73.2</v>
      </c>
      <c r="D13" s="28"/>
      <c r="E13" s="39">
        <f>ROUND(Р[[#This Row],[Количество]]*Р[[#This Row],[Цена за ед., руб]],2)</f>
        <v>0</v>
      </c>
      <c r="F13" s="37"/>
    </row>
    <row r="14" spans="1:6" ht="11.45" customHeight="1" x14ac:dyDescent="0.2">
      <c r="A14" s="33" t="s">
        <v>111</v>
      </c>
      <c r="B14" s="34"/>
      <c r="C14" s="36"/>
      <c r="D14" s="91" t="s">
        <v>128</v>
      </c>
      <c r="E14" s="39">
        <f>SUBTOTAL(109,Р[Сумма, руб])</f>
        <v>0</v>
      </c>
      <c r="F14" s="37"/>
    </row>
    <row r="15" spans="1:6" ht="11.45" customHeight="1" x14ac:dyDescent="0.2">
      <c r="D15" s="92" t="s">
        <v>129</v>
      </c>
      <c r="E15" s="93">
        <f>Р[[#Totals],[Сумма, руб]]-ЛСР!K96</f>
        <v>0</v>
      </c>
    </row>
  </sheetData>
  <mergeCells count="1">
    <mergeCell ref="A1:F1"/>
  </mergeCell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autoPageBreaks="0"/>
  </sheetPr>
  <dimension ref="A1:I29"/>
  <sheetViews>
    <sheetView workbookViewId="0">
      <pane ySplit="3" topLeftCell="A4" activePane="bottomLeft" state="frozen"/>
      <selection pane="bottomLeft" activeCell="F4" sqref="F4:F27"/>
    </sheetView>
  </sheetViews>
  <sheetFormatPr defaultColWidth="10.5" defaultRowHeight="11.25" x14ac:dyDescent="0.2"/>
  <cols>
    <col min="1" max="1" width="51.6640625" style="70" customWidth="1"/>
    <col min="2" max="2" width="26" style="70" customWidth="1"/>
    <col min="3" max="3" width="28.5" style="70" customWidth="1"/>
    <col min="4" max="4" width="10.6640625" style="70" customWidth="1"/>
    <col min="5" max="5" width="14.6640625" style="70" customWidth="1"/>
    <col min="6" max="6" width="18.33203125" style="70" customWidth="1"/>
    <col min="7" max="7" width="17" style="70" customWidth="1"/>
    <col min="8" max="8" width="36.5" style="70" customWidth="1"/>
    <col min="9" max="9" width="23.33203125" style="70" customWidth="1"/>
    <col min="10" max="16384" width="10.5" style="71"/>
  </cols>
  <sheetData>
    <row r="1" spans="1:9" x14ac:dyDescent="0.2">
      <c r="A1" s="125" t="s">
        <v>98</v>
      </c>
      <c r="B1" s="125"/>
      <c r="C1" s="125"/>
      <c r="D1" s="125"/>
      <c r="E1" s="125"/>
      <c r="F1" s="125"/>
      <c r="G1" s="125"/>
      <c r="H1" s="125"/>
    </row>
    <row r="3" spans="1:9" x14ac:dyDescent="0.2">
      <c r="A3" s="31" t="s">
        <v>99</v>
      </c>
      <c r="B3" s="40" t="s">
        <v>100</v>
      </c>
      <c r="C3" s="32" t="s">
        <v>101</v>
      </c>
      <c r="D3" s="2" t="s">
        <v>6</v>
      </c>
      <c r="E3" s="2" t="s">
        <v>10</v>
      </c>
      <c r="F3" s="38" t="s">
        <v>11</v>
      </c>
      <c r="G3" s="38" t="s">
        <v>12</v>
      </c>
      <c r="H3" s="2" t="s">
        <v>102</v>
      </c>
      <c r="I3" s="32" t="s">
        <v>103</v>
      </c>
    </row>
    <row r="4" spans="1:9" x14ac:dyDescent="0.2">
      <c r="A4" s="95" t="s">
        <v>27</v>
      </c>
      <c r="B4" s="27">
        <f>VLOOKUP(М[[#This Row],[Наим.]],ЛСР!$B$6:$M$93,2,0)</f>
        <v>0</v>
      </c>
      <c r="C4" s="27" t="str">
        <f>VLOOKUP(М[[#This Row],[Наим.]],ЛСР!$B$6:$M$93,3,0)</f>
        <v>А500С Ø8 ГОСТ 34028-2016</v>
      </c>
      <c r="D4" s="27" t="str">
        <f>VLOOKUP(М[[#This Row],[Наим.]],ЛСР!$B$6:$M$93,4,0)</f>
        <v>т</v>
      </c>
      <c r="E4" s="28">
        <f>SUMIF(ЛСР!$B$6:$B$93,$A4,ЛСР!$I$6:$I$93)</f>
        <v>0.10800000000000001</v>
      </c>
      <c r="F4" s="28"/>
      <c r="G4" s="28">
        <f>ROUND(М[[#This Row],[Количество]]*М[[#This Row],[Цена за ед., руб]],2)</f>
        <v>0</v>
      </c>
      <c r="H4" s="27">
        <f>VLOOKUP(М[[#This Row],[Наим.]],ЛСР!$B$6:$M$93,11,0)</f>
        <v>0</v>
      </c>
      <c r="I4" s="27" t="str">
        <f>VLOOKUP(М[[#This Row],[Наим.]],ЛСР!$B$6:$M$93,12,0)</f>
        <v>Закупка подрядчик</v>
      </c>
    </row>
    <row r="5" spans="1:9" x14ac:dyDescent="0.2">
      <c r="A5" s="96" t="s">
        <v>130</v>
      </c>
      <c r="B5" s="27">
        <f>VLOOKUP(М[[#This Row],[Наим.]],ЛСР!$B$6:$M$93,2,0)</f>
        <v>0</v>
      </c>
      <c r="C5" s="27" t="str">
        <f>VLOOKUP(М[[#This Row],[Наим.]],ЛСР!$B$6:$M$93,3,0)</f>
        <v>БСТ B20</v>
      </c>
      <c r="D5" s="27" t="str">
        <f>VLOOKUP(М[[#This Row],[Наим.]],ЛСР!$B$6:$M$93,4,0)</f>
        <v>м3</v>
      </c>
      <c r="E5" s="28">
        <f>SUMIF(ЛСР!$B$6:$B$93,$A5,ЛСР!$I$6:$I$93)</f>
        <v>6.08</v>
      </c>
      <c r="F5" s="28"/>
      <c r="G5" s="28">
        <f>ROUND(М[[#This Row],[Количество]]*М[[#This Row],[Цена за ед., руб]],2)</f>
        <v>0</v>
      </c>
      <c r="H5" s="27">
        <f>VLOOKUP(М[[#This Row],[Наим.]],ЛСР!$B$6:$M$93,11,0)</f>
        <v>0</v>
      </c>
      <c r="I5" s="30" t="str">
        <f>VLOOKUP(М[[#This Row],[Наим.]],ЛСР!$B$6:$M$93,12,0)</f>
        <v>Закупка подрядчик</v>
      </c>
    </row>
    <row r="6" spans="1:9" ht="22.5" x14ac:dyDescent="0.2">
      <c r="A6" s="96" t="s">
        <v>131</v>
      </c>
      <c r="B6" s="27">
        <f>VLOOKUP(М[[#This Row],[Наим.]],ЛСР!$B$6:$M$93,2,0)</f>
        <v>0</v>
      </c>
      <c r="C6" s="27" t="str">
        <f>VLOOKUP(М[[#This Row],[Наим.]],ЛСР!$B$6:$M$93,3,0)</f>
        <v>кладочная сварная Вр-1 50х50х2</v>
      </c>
      <c r="D6" s="27" t="str">
        <f>VLOOKUP(М[[#This Row],[Наим.]],ЛСР!$B$6:$M$93,4,0)</f>
        <v>м2</v>
      </c>
      <c r="E6" s="28">
        <f>SUMIF(ЛСР!$B$6:$B$93,$A6,ЛСР!$I$6:$I$93)</f>
        <v>631.61999999999989</v>
      </c>
      <c r="F6" s="28"/>
      <c r="G6" s="28">
        <f>ROUND(М[[#This Row],[Количество]]*М[[#This Row],[Цена за ед., руб]],2)</f>
        <v>0</v>
      </c>
      <c r="H6" s="27">
        <f>VLOOKUP(М[[#This Row],[Наим.]],ЛСР!$B$6:$M$93,11,0)</f>
        <v>0</v>
      </c>
      <c r="I6" s="30" t="str">
        <f>VLOOKUP(М[[#This Row],[Наим.]],ЛСР!$B$6:$M$93,12,0)</f>
        <v>Закупка подрядчик</v>
      </c>
    </row>
    <row r="7" spans="1:9" x14ac:dyDescent="0.2">
      <c r="A7" s="96" t="s">
        <v>132</v>
      </c>
      <c r="B7" s="27">
        <f>VLOOKUP(М[[#This Row],[Наим.]],ЛСР!$B$6:$M$93,2,0)</f>
        <v>0</v>
      </c>
      <c r="C7" s="27" t="str">
        <f>VLOOKUP(М[[#This Row],[Наим.]],ЛСР!$B$6:$M$93,3,0)</f>
        <v>120х70мм</v>
      </c>
      <c r="D7" s="27" t="str">
        <f>VLOOKUP(М[[#This Row],[Наим.]],ЛСР!$B$6:$M$93,4,0)</f>
        <v>пог. м</v>
      </c>
      <c r="E7" s="28">
        <f>SUMIF(ЛСР!$B$6:$B$93,$A7,ЛСР!$I$6:$I$93)</f>
        <v>3450.9738000000002</v>
      </c>
      <c r="F7" s="28"/>
      <c r="G7" s="28">
        <f>ROUND(М[[#This Row],[Количество]]*М[[#This Row],[Цена за ед., руб]],2)</f>
        <v>0</v>
      </c>
      <c r="H7" s="27">
        <f>VLOOKUP(М[[#This Row],[Наим.]],ЛСР!$B$6:$M$93,11,0)</f>
        <v>0</v>
      </c>
      <c r="I7" s="30" t="str">
        <f>VLOOKUP(М[[#This Row],[Наим.]],ЛСР!$B$6:$M$93,12,0)</f>
        <v>Закупка подрядчик</v>
      </c>
    </row>
    <row r="8" spans="1:9" x14ac:dyDescent="0.2">
      <c r="A8" s="96" t="s">
        <v>133</v>
      </c>
      <c r="B8" s="27" t="str">
        <f>VLOOKUP(М[[#This Row],[Наим.]],ЛСР!$B$6:$M$93,2,0)</f>
        <v>CR 65 Waterproof, Ceresit</v>
      </c>
      <c r="C8" s="27" t="str">
        <f>VLOOKUP(М[[#This Row],[Наим.]],ЛСР!$B$6:$M$93,3,0)</f>
        <v>обмазочная цементная</v>
      </c>
      <c r="D8" s="27" t="str">
        <f>VLOOKUP(М[[#This Row],[Наим.]],ЛСР!$B$6:$M$93,4,0)</f>
        <v>кг</v>
      </c>
      <c r="E8" s="28">
        <f>SUMIF(ЛСР!$B$6:$B$93,$A8,ЛСР!$I$6:$I$93)</f>
        <v>10840.68</v>
      </c>
      <c r="F8" s="28"/>
      <c r="G8" s="28">
        <f>ROUND(М[[#This Row],[Количество]]*М[[#This Row],[Цена за ед., руб]],2)</f>
        <v>0</v>
      </c>
      <c r="H8" s="27" t="str">
        <f>VLOOKUP(М[[#This Row],[Наим.]],ЛСР!$B$6:$M$93,11,0)</f>
        <v>CR 65 Waterproof, Ceresit</v>
      </c>
      <c r="I8" s="30" t="str">
        <f>VLOOKUP(М[[#This Row],[Наим.]],ЛСР!$B$6:$M$93,12,0)</f>
        <v>Закупка подрядчик</v>
      </c>
    </row>
    <row r="9" spans="1:9" x14ac:dyDescent="0.2">
      <c r="A9" s="96" t="s">
        <v>134</v>
      </c>
      <c r="B9" s="27">
        <f>VLOOKUP(М[[#This Row],[Наим.]],ЛСР!$B$6:$M$93,2,0)</f>
        <v>0</v>
      </c>
      <c r="C9" s="27" t="str">
        <f>VLOOKUP(М[[#This Row],[Наим.]],ЛСР!$B$6:$M$93,3,0)</f>
        <v>ЦПВС оцинк. 20х0,7х0,3</v>
      </c>
      <c r="D9" s="27" t="str">
        <f>VLOOKUP(М[[#This Row],[Наим.]],ЛСР!$B$6:$M$93,4,0)</f>
        <v>м2</v>
      </c>
      <c r="E9" s="28">
        <f>SUMIF(ЛСР!$B$6:$B$93,$A9,ЛСР!$I$6:$I$93)</f>
        <v>5172.08</v>
      </c>
      <c r="F9" s="28"/>
      <c r="G9" s="28">
        <f>ROUND(М[[#This Row],[Количество]]*М[[#This Row],[Цена за ед., руб]],2)</f>
        <v>0</v>
      </c>
      <c r="H9" s="27">
        <f>VLOOKUP(М[[#This Row],[Наим.]],ЛСР!$B$6:$M$93,11,0)</f>
        <v>0</v>
      </c>
      <c r="I9" s="30" t="str">
        <f>VLOOKUP(М[[#This Row],[Наим.]],ЛСР!$B$6:$M$93,12,0)</f>
        <v>Закупка подрядчик</v>
      </c>
    </row>
    <row r="10" spans="1:9" x14ac:dyDescent="0.2">
      <c r="A10" s="96" t="s">
        <v>135</v>
      </c>
      <c r="B10" s="27">
        <f>VLOOKUP(М[[#This Row],[Наим.]],ЛСР!$B$6:$M$93,2,0)</f>
        <v>0</v>
      </c>
      <c r="C10" s="27" t="str">
        <f>VLOOKUP(М[[#This Row],[Наим.]],ЛСР!$B$6:$M$93,3,0)</f>
        <v>армированная ТПЛ 48мм</v>
      </c>
      <c r="D10" s="27" t="str">
        <f>VLOOKUP(М[[#This Row],[Наим.]],ЛСР!$B$6:$M$93,4,0)</f>
        <v>м</v>
      </c>
      <c r="E10" s="28">
        <f>SUMIF(ЛСР!$B$6:$B$93,$A10,ЛСР!$I$6:$I$93)</f>
        <v>25134.02</v>
      </c>
      <c r="F10" s="28"/>
      <c r="G10" s="28">
        <f>ROUND(М[[#This Row],[Количество]]*М[[#This Row],[Цена за ед., руб]],2)</f>
        <v>0</v>
      </c>
      <c r="H10" s="27">
        <f>VLOOKUP(М[[#This Row],[Наим.]],ЛСР!$B$6:$M$93,11,0)</f>
        <v>0</v>
      </c>
      <c r="I10" s="30" t="str">
        <f>VLOOKUP(М[[#This Row],[Наим.]],ЛСР!$B$6:$M$93,12,0)</f>
        <v>Закупка подрядчик</v>
      </c>
    </row>
    <row r="11" spans="1:9" x14ac:dyDescent="0.2">
      <c r="A11" s="96" t="s">
        <v>136</v>
      </c>
      <c r="B11" s="27">
        <f>VLOOKUP(М[[#This Row],[Наим.]],ЛСР!$B$6:$M$93,2,0)</f>
        <v>0</v>
      </c>
      <c r="C11" s="27" t="str">
        <f>VLOOKUP(М[[#This Row],[Наим.]],ЛСР!$B$6:$M$93,3,0)</f>
        <v>ПЦ-400 Д20</v>
      </c>
      <c r="D11" s="27" t="str">
        <f>VLOOKUP(М[[#This Row],[Наим.]],ЛСР!$B$6:$M$93,4,0)</f>
        <v>кг</v>
      </c>
      <c r="E11" s="28">
        <f>SUMIF(ЛСР!$B$6:$B$93,$A11,ЛСР!$I$6:$I$93)</f>
        <v>540804.99</v>
      </c>
      <c r="F11" s="28"/>
      <c r="G11" s="28">
        <f>ROUND(М[[#This Row],[Количество]]*М[[#This Row],[Цена за ед., руб]],2)</f>
        <v>0</v>
      </c>
      <c r="H11" s="27">
        <f>VLOOKUP(М[[#This Row],[Наим.]],ЛСР!$B$6:$M$93,11,0)</f>
        <v>0</v>
      </c>
      <c r="I11" s="30" t="str">
        <f>VLOOKUP(М[[#This Row],[Наим.]],ЛСР!$B$6:$M$93,12,0)</f>
        <v>Закупка подрядчик</v>
      </c>
    </row>
    <row r="12" spans="1:9" ht="22.5" x14ac:dyDescent="0.2">
      <c r="A12" s="96" t="s">
        <v>137</v>
      </c>
      <c r="B12" s="27">
        <f>VLOOKUP(М[[#This Row],[Наим.]],ЛСР!$B$6:$M$93,2,0)</f>
        <v>0</v>
      </c>
      <c r="C12" s="27" t="str">
        <f>VLOOKUP(М[[#This Row],[Наим.]],ЛСР!$B$6:$M$93,3,0)</f>
        <v>среднезернистый МК 1,7-2,0; ГЧ до 3%</v>
      </c>
      <c r="D12" s="27" t="str">
        <f>VLOOKUP(М[[#This Row],[Наим.]],ЛСР!$B$6:$M$93,4,0)</f>
        <v>т</v>
      </c>
      <c r="E12" s="28">
        <f>SUMIF(ЛСР!$B$6:$B$93,$A12,ЛСР!$I$6:$I$93)</f>
        <v>2025.1599999999999</v>
      </c>
      <c r="F12" s="28"/>
      <c r="G12" s="28">
        <f>ROUND(М[[#This Row],[Количество]]*М[[#This Row],[Цена за ед., руб]],2)</f>
        <v>0</v>
      </c>
      <c r="H12" s="27">
        <f>VLOOKUP(М[[#This Row],[Наим.]],ЛСР!$B$6:$M$93,11,0)</f>
        <v>0</v>
      </c>
      <c r="I12" s="30" t="str">
        <f>VLOOKUP(М[[#This Row],[Наим.]],ЛСР!$B$6:$M$93,12,0)</f>
        <v>Закупка подрядчик</v>
      </c>
    </row>
    <row r="13" spans="1:9" x14ac:dyDescent="0.2">
      <c r="A13" s="96" t="s">
        <v>138</v>
      </c>
      <c r="B13" s="27">
        <f>VLOOKUP(М[[#This Row],[Наим.]],ЛСР!$B$6:$M$93,2,0)</f>
        <v>0</v>
      </c>
      <c r="C13" s="27" t="str">
        <f>VLOOKUP(М[[#This Row],[Наим.]],ЛСР!$B$6:$M$93,3,0)</f>
        <v>химически сшитый 10мм</v>
      </c>
      <c r="D13" s="27" t="str">
        <f>VLOOKUP(М[[#This Row],[Наим.]],ЛСР!$B$6:$M$93,4,0)</f>
        <v>м2</v>
      </c>
      <c r="E13" s="28">
        <f>SUMIF(ЛСР!$B$6:$B$93,$A13,ЛСР!$I$6:$I$93)</f>
        <v>11975.869999999999</v>
      </c>
      <c r="F13" s="28"/>
      <c r="G13" s="28">
        <f>ROUND(М[[#This Row],[Количество]]*М[[#This Row],[Цена за ед., руб]],2)</f>
        <v>0</v>
      </c>
      <c r="H13" s="27">
        <f>VLOOKUP(М[[#This Row],[Наим.]],ЛСР!$B$6:$M$93,11,0)</f>
        <v>0</v>
      </c>
      <c r="I13" s="30" t="str">
        <f>VLOOKUP(М[[#This Row],[Наим.]],ЛСР!$B$6:$M$93,12,0)</f>
        <v>Закупка подрядчик</v>
      </c>
    </row>
    <row r="14" spans="1:9" ht="33.75" x14ac:dyDescent="0.2">
      <c r="A14" s="96" t="s">
        <v>139</v>
      </c>
      <c r="B14" s="27">
        <f>VLOOKUP(М[[#This Row],[Наим.]],ЛСР!$B$6:$M$93,2,0)</f>
        <v>0</v>
      </c>
      <c r="C14" s="27" t="str">
        <f>VLOOKUP(М[[#This Row],[Наим.]],ЛСР!$B$6:$M$93,3,0)</f>
        <v>акриловый</v>
      </c>
      <c r="D14" s="27" t="str">
        <f>VLOOKUP(М[[#This Row],[Наим.]],ЛСР!$B$6:$M$93,4,0)</f>
        <v>туб.</v>
      </c>
      <c r="E14" s="28">
        <f>SUMIF(ЛСР!$B$6:$B$93,$A14,ЛСР!$I$6:$I$93)</f>
        <v>1081</v>
      </c>
      <c r="F14" s="28"/>
      <c r="G14" s="28">
        <f>ROUND(М[[#This Row],[Количество]]*М[[#This Row],[Цена за ед., руб]],2)</f>
        <v>0</v>
      </c>
      <c r="H14" s="27" t="str">
        <f>VLOOKUP(М[[#This Row],[Наим.]],ЛСР!$B$6:$M$93,11,0)</f>
        <v>Стиз В, туба - 600 мл - наносится внутри квартиры у оконного блока открытого балкона</v>
      </c>
      <c r="I14" s="30" t="str">
        <f>VLOOKUP(М[[#This Row],[Наим.]],ЛСР!$B$6:$M$93,12,0)</f>
        <v>Закупка подрядчик</v>
      </c>
    </row>
    <row r="15" spans="1:9" x14ac:dyDescent="0.2">
      <c r="A15" s="96" t="s">
        <v>140</v>
      </c>
      <c r="B15" s="27">
        <f>VLOOKUP(М[[#This Row],[Наим.]],ЛСР!$B$6:$M$93,2,0)</f>
        <v>0</v>
      </c>
      <c r="C15" s="27" t="str">
        <f>VLOOKUP(М[[#This Row],[Наим.]],ЛСР!$B$6:$M$93,3,0)</f>
        <v>полипропиленовое 12мм</v>
      </c>
      <c r="D15" s="27" t="str">
        <f>VLOOKUP(М[[#This Row],[Наим.]],ЛСР!$B$6:$M$93,4,0)</f>
        <v>кг</v>
      </c>
      <c r="E15" s="28">
        <f>SUMIF(ЛСР!$B$6:$B$93,$A15,ЛСР!$I$6:$I$93)</f>
        <v>461.55999999999995</v>
      </c>
      <c r="F15" s="28"/>
      <c r="G15" s="28">
        <f>ROUND(М[[#This Row],[Количество]]*М[[#This Row],[Цена за ед., руб]],2)</f>
        <v>0</v>
      </c>
      <c r="H15" s="27">
        <f>VLOOKUP(М[[#This Row],[Наим.]],ЛСР!$B$6:$M$93,11,0)</f>
        <v>0</v>
      </c>
      <c r="I15" s="30" t="str">
        <f>VLOOKUP(М[[#This Row],[Наим.]],ЛСР!$B$6:$M$93,12,0)</f>
        <v>Закупка подрядчик</v>
      </c>
    </row>
    <row r="16" spans="1:9" x14ac:dyDescent="0.2">
      <c r="A16" s="96" t="s">
        <v>141</v>
      </c>
      <c r="B16" s="27">
        <f>VLOOKUP(М[[#This Row],[Наим.]],ЛСР!$B$6:$M$93,2,0)</f>
        <v>0</v>
      </c>
      <c r="C16" s="27" t="str">
        <f>VLOOKUP(М[[#This Row],[Наим.]],ЛСР!$B$6:$M$93,3,0)</f>
        <v>8х100мм 20м</v>
      </c>
      <c r="D16" s="27" t="str">
        <f>VLOOKUP(М[[#This Row],[Наим.]],ЛСР!$B$6:$M$93,4,0)</f>
        <v>шт</v>
      </c>
      <c r="E16" s="28">
        <f>SUMIF(ЛСР!$B$6:$B$93,$A16,ЛСР!$I$6:$I$93)</f>
        <v>806</v>
      </c>
      <c r="F16" s="28"/>
      <c r="G16" s="28">
        <f>ROUND(М[[#This Row],[Количество]]*М[[#This Row],[Цена за ед., руб]],2)</f>
        <v>0</v>
      </c>
      <c r="H16" s="27">
        <f>VLOOKUP(М[[#This Row],[Наим.]],ЛСР!$B$6:$M$93,11,0)</f>
        <v>0</v>
      </c>
      <c r="I16" s="30" t="str">
        <f>VLOOKUP(М[[#This Row],[Наим.]],ЛСР!$B$6:$M$93,12,0)</f>
        <v>Закупка подрядчик</v>
      </c>
    </row>
    <row r="17" spans="1:9" x14ac:dyDescent="0.2">
      <c r="A17" s="96" t="s">
        <v>142</v>
      </c>
      <c r="B17" s="27">
        <f>VLOOKUP(М[[#This Row],[Наим.]],ЛСР!$B$6:$M$93,2,0)</f>
        <v>0</v>
      </c>
      <c r="C17" s="27" t="str">
        <f>VLOOKUP(М[[#This Row],[Наим.]],ЛСР!$B$6:$M$93,3,0)</f>
        <v>противоморозный</v>
      </c>
      <c r="D17" s="27" t="str">
        <f>VLOOKUP(М[[#This Row],[Наим.]],ЛСР!$B$6:$M$93,4,0)</f>
        <v>л (дм3)</v>
      </c>
      <c r="E17" s="28">
        <f>SUMIF(ЛСР!$B$6:$B$93,$A17,ЛСР!$I$6:$I$93)</f>
        <v>1175.67</v>
      </c>
      <c r="F17" s="28"/>
      <c r="G17" s="28">
        <f>ROUND(М[[#This Row],[Количество]]*М[[#This Row],[Цена за ед., руб]],2)</f>
        <v>0</v>
      </c>
      <c r="H17" s="27">
        <f>VLOOKUP(М[[#This Row],[Наим.]],ЛСР!$B$6:$M$93,11,0)</f>
        <v>0</v>
      </c>
      <c r="I17" s="30" t="str">
        <f>VLOOKUP(М[[#This Row],[Наим.]],ЛСР!$B$6:$M$93,12,0)</f>
        <v>Закупка подрядчик</v>
      </c>
    </row>
    <row r="18" spans="1:9" x14ac:dyDescent="0.2">
      <c r="A18" s="96" t="s">
        <v>143</v>
      </c>
      <c r="B18" s="27">
        <f>VLOOKUP(М[[#This Row],[Наим.]],ЛСР!$B$6:$M$93,2,0)</f>
        <v>0</v>
      </c>
      <c r="C18" s="27" t="str">
        <f>VLOOKUP(М[[#This Row],[Наим.]],ЛСР!$B$6:$M$93,3,0)</f>
        <v>экструзионный 50мм 30 кг/м3</v>
      </c>
      <c r="D18" s="27" t="str">
        <f>VLOOKUP(М[[#This Row],[Наим.]],ЛСР!$B$6:$M$93,4,0)</f>
        <v>м3</v>
      </c>
      <c r="E18" s="28">
        <f>SUMIF(ЛСР!$B$6:$B$93,$A18,ЛСР!$I$6:$I$93)</f>
        <v>52.239999999999995</v>
      </c>
      <c r="F18" s="28"/>
      <c r="G18" s="28">
        <f>ROUND(М[[#This Row],[Количество]]*М[[#This Row],[Цена за ед., руб]],2)</f>
        <v>0</v>
      </c>
      <c r="H18" s="27">
        <f>VLOOKUP(М[[#This Row],[Наим.]],ЛСР!$B$6:$M$93,11,0)</f>
        <v>0</v>
      </c>
      <c r="I18" s="30" t="str">
        <f>VLOOKUP(М[[#This Row],[Наим.]],ЛСР!$B$6:$M$93,12,0)</f>
        <v>Закупка подрядчик</v>
      </c>
    </row>
    <row r="19" spans="1:9" x14ac:dyDescent="0.2">
      <c r="A19" s="96" t="s">
        <v>144</v>
      </c>
      <c r="B19" s="27">
        <f>VLOOKUP(М[[#This Row],[Наим.]],ЛСР!$B$6:$M$93,2,0)</f>
        <v>0</v>
      </c>
      <c r="C19" s="27" t="str">
        <f>VLOOKUP(М[[#This Row],[Наим.]],ЛСР!$B$6:$M$93,3,0)</f>
        <v>экструзионный 100мм 30 кг/м3</v>
      </c>
      <c r="D19" s="27" t="str">
        <f>VLOOKUP(М[[#This Row],[Наим.]],ЛСР!$B$6:$M$93,4,0)</f>
        <v>м3</v>
      </c>
      <c r="E19" s="28">
        <f>SUMIF(ЛСР!$B$6:$B$93,$A19,ЛСР!$I$6:$I$93)</f>
        <v>2.76</v>
      </c>
      <c r="F19" s="28"/>
      <c r="G19" s="28">
        <f>ROUND(М[[#This Row],[Количество]]*М[[#This Row],[Цена за ед., руб]],2)</f>
        <v>0</v>
      </c>
      <c r="H19" s="27">
        <f>VLOOKUP(М[[#This Row],[Наим.]],ЛСР!$B$6:$M$93,11,0)</f>
        <v>0</v>
      </c>
      <c r="I19" s="30" t="str">
        <f>VLOOKUP(М[[#This Row],[Наим.]],ЛСР!$B$6:$M$93,12,0)</f>
        <v>Закупка подрядчик</v>
      </c>
    </row>
    <row r="20" spans="1:9" ht="22.5" x14ac:dyDescent="0.2">
      <c r="A20" s="96" t="s">
        <v>145</v>
      </c>
      <c r="B20" s="27">
        <f>VLOOKUP(М[[#This Row],[Наим.]],ЛСР!$B$6:$M$93,2,0)</f>
        <v>0</v>
      </c>
      <c r="C20" s="27" t="str">
        <f>VLOOKUP(М[[#This Row],[Наим.]],ЛСР!$B$6:$M$93,3,0)</f>
        <v>акриловая глуб. проникновения пр. плесени</v>
      </c>
      <c r="D20" s="27" t="str">
        <f>VLOOKUP(М[[#This Row],[Наим.]],ЛСР!$B$6:$M$93,4,0)</f>
        <v>кг</v>
      </c>
      <c r="E20" s="28">
        <f>SUMIF(ЛСР!$B$6:$B$93,$A20,ЛСР!$I$6:$I$93)</f>
        <v>525.08000000000004</v>
      </c>
      <c r="F20" s="28"/>
      <c r="G20" s="28">
        <f>ROUND(М[[#This Row],[Количество]]*М[[#This Row],[Цена за ед., руб]],2)</f>
        <v>0</v>
      </c>
      <c r="H20" s="27">
        <f>VLOOKUP(М[[#This Row],[Наим.]],ЛСР!$B$6:$M$93,11,0)</f>
        <v>0</v>
      </c>
      <c r="I20" s="30" t="str">
        <f>VLOOKUP(М[[#This Row],[Наим.]],ЛСР!$B$6:$M$93,12,0)</f>
        <v>Закупка подрядчик</v>
      </c>
    </row>
    <row r="21" spans="1:9" x14ac:dyDescent="0.2">
      <c r="A21" s="96" t="s">
        <v>146</v>
      </c>
      <c r="B21" s="27">
        <f>VLOOKUP(М[[#This Row],[Наим.]],ЛСР!$B$6:$M$93,2,0)</f>
        <v>0</v>
      </c>
      <c r="C21" s="27" t="str">
        <f>VLOOKUP(М[[#This Row],[Наим.]],ЛСР!$B$6:$M$93,3,0)</f>
        <v>оклеечная</v>
      </c>
      <c r="D21" s="27" t="str">
        <f>VLOOKUP(М[[#This Row],[Наим.]],ЛСР!$B$6:$M$93,4,0)</f>
        <v>м2</v>
      </c>
      <c r="E21" s="28">
        <f>SUMIF(ЛСР!$B$6:$B$93,$A21,ЛСР!$I$6:$I$93)</f>
        <v>726.37</v>
      </c>
      <c r="F21" s="28"/>
      <c r="G21" s="28">
        <f>ROUND(М[[#This Row],[Количество]]*М[[#This Row],[Цена за ед., руб]],2)</f>
        <v>0</v>
      </c>
      <c r="H21" s="27" t="str">
        <f>VLOOKUP(М[[#This Row],[Наим.]],ЛСР!$B$6:$M$93,11,0)</f>
        <v>Технониколь Master</v>
      </c>
      <c r="I21" s="30" t="str">
        <f>VLOOKUP(М[[#This Row],[Наим.]],ЛСР!$B$6:$M$93,12,0)</f>
        <v>Закупка подрядчик</v>
      </c>
    </row>
    <row r="22" spans="1:9" x14ac:dyDescent="0.2">
      <c r="A22" s="96" t="s">
        <v>147</v>
      </c>
      <c r="B22" s="27">
        <f>VLOOKUP(М[[#This Row],[Наим.]],ЛСР!$B$6:$M$93,2,0)</f>
        <v>0</v>
      </c>
      <c r="C22" s="27" t="str">
        <f>VLOOKUP(М[[#This Row],[Наим.]],ЛСР!$B$6:$M$93,3,0)</f>
        <v>битумный</v>
      </c>
      <c r="D22" s="27" t="str">
        <f>VLOOKUP(М[[#This Row],[Наим.]],ЛСР!$B$6:$M$93,4,0)</f>
        <v>л (дм3)</v>
      </c>
      <c r="E22" s="28">
        <f>SUMIF(ЛСР!$B$6:$B$93,$A22,ЛСР!$I$6:$I$93)</f>
        <v>198.10199999999998</v>
      </c>
      <c r="F22" s="28"/>
      <c r="G22" s="28">
        <f>ROUND(М[[#This Row],[Количество]]*М[[#This Row],[Цена за ед., руб]],2)</f>
        <v>0</v>
      </c>
      <c r="H22" s="27" t="str">
        <f>VLOOKUP(М[[#This Row],[Наим.]],ЛСР!$B$6:$M$93,11,0)</f>
        <v>Технониколь</v>
      </c>
      <c r="I22" s="30" t="str">
        <f>VLOOKUP(М[[#This Row],[Наим.]],ЛСР!$B$6:$M$93,12,0)</f>
        <v>Закупка подрядчик</v>
      </c>
    </row>
    <row r="23" spans="1:9" x14ac:dyDescent="0.2">
      <c r="A23" s="96" t="s">
        <v>148</v>
      </c>
      <c r="B23" s="27">
        <f>VLOOKUP(М[[#This Row],[Наим.]],ЛСР!$B$6:$M$93,2,0)</f>
        <v>0</v>
      </c>
      <c r="C23" s="27" t="str">
        <f>VLOOKUP(М[[#This Row],[Наим.]],ЛСР!$B$6:$M$93,3,0)</f>
        <v>акриловая БетонКонтакт</v>
      </c>
      <c r="D23" s="27" t="str">
        <f>VLOOKUP(М[[#This Row],[Наим.]],ЛСР!$B$6:$M$93,4,0)</f>
        <v>кг</v>
      </c>
      <c r="E23" s="28">
        <f>SUMIF(ЛСР!$B$6:$B$93,$A23,ЛСР!$I$6:$I$93)</f>
        <v>189.34</v>
      </c>
      <c r="F23" s="28"/>
      <c r="G23" s="28">
        <f>ROUND(М[[#This Row],[Количество]]*М[[#This Row],[Цена за ед., руб]],2)</f>
        <v>0</v>
      </c>
      <c r="H23" s="27">
        <f>VLOOKUP(М[[#This Row],[Наим.]],ЛСР!$B$6:$M$93,11,0)</f>
        <v>0</v>
      </c>
      <c r="I23" s="30" t="str">
        <f>VLOOKUP(М[[#This Row],[Наим.]],ЛСР!$B$6:$M$93,12,0)</f>
        <v>Закупка подрядчик</v>
      </c>
    </row>
    <row r="24" spans="1:9" x14ac:dyDescent="0.2">
      <c r="A24" s="96" t="s">
        <v>149</v>
      </c>
      <c r="B24" s="27">
        <f>VLOOKUP(М[[#This Row],[Наим.]],ЛСР!$B$6:$M$93,2,0)</f>
        <v>0</v>
      </c>
      <c r="C24" s="27" t="str">
        <f>VLOOKUP(М[[#This Row],[Наим.]],ЛСР!$B$6:$M$93,3,0)</f>
        <v>63х63х5</v>
      </c>
      <c r="D24" s="27" t="str">
        <f>VLOOKUP(М[[#This Row],[Наим.]],ЛСР!$B$6:$M$93,4,0)</f>
        <v>кг</v>
      </c>
      <c r="E24" s="28">
        <f>SUMIF(ЛСР!$B$6:$B$93,$A24,ЛСР!$I$6:$I$93)</f>
        <v>366.17</v>
      </c>
      <c r="F24" s="28"/>
      <c r="G24" s="28">
        <f>ROUND(М[[#This Row],[Количество]]*М[[#This Row],[Цена за ед., руб]],2)</f>
        <v>0</v>
      </c>
      <c r="H24" s="27">
        <f>VLOOKUP(М[[#This Row],[Наим.]],ЛСР!$B$6:$M$93,11,0)</f>
        <v>0</v>
      </c>
      <c r="I24" s="30" t="str">
        <f>VLOOKUP(М[[#This Row],[Наим.]],ЛСР!$B$6:$M$93,12,0)</f>
        <v>Закупка подрядчик</v>
      </c>
    </row>
    <row r="25" spans="1:9" x14ac:dyDescent="0.2">
      <c r="A25" s="96" t="s">
        <v>150</v>
      </c>
      <c r="B25" s="27">
        <f>VLOOKUP(М[[#This Row],[Наим.]],ЛСР!$B$6:$M$93,2,0)</f>
        <v>0</v>
      </c>
      <c r="C25" s="27" t="str">
        <f>VLOOKUP(М[[#This Row],[Наим.]],ЛСР!$B$6:$M$93,3,0)</f>
        <v>алкидная ГФ-021</v>
      </c>
      <c r="D25" s="27" t="str">
        <f>VLOOKUP(М[[#This Row],[Наим.]],ЛСР!$B$6:$M$93,4,0)</f>
        <v>кг</v>
      </c>
      <c r="E25" s="28">
        <f>SUMIF(ЛСР!$B$6:$B$93,$A25,ЛСР!$I$6:$I$93)</f>
        <v>1.47</v>
      </c>
      <c r="F25" s="28"/>
      <c r="G25" s="28">
        <f>ROUND(М[[#This Row],[Количество]]*М[[#This Row],[Цена за ед., руб]],2)</f>
        <v>0</v>
      </c>
      <c r="H25" s="27">
        <f>VLOOKUP(М[[#This Row],[Наим.]],ЛСР!$B$6:$M$93,11,0)</f>
        <v>0</v>
      </c>
      <c r="I25" s="30" t="str">
        <f>VLOOKUP(М[[#This Row],[Наим.]],ЛСР!$B$6:$M$93,12,0)</f>
        <v>Закупка подрядчик</v>
      </c>
    </row>
    <row r="26" spans="1:9" x14ac:dyDescent="0.2">
      <c r="A26" s="96" t="s">
        <v>151</v>
      </c>
      <c r="B26" s="27">
        <f>VLOOKUP(М[[#This Row],[Наим.]],ЛСР!$B$6:$M$93,2,0)</f>
        <v>0</v>
      </c>
      <c r="C26" s="27" t="str">
        <f>VLOOKUP(М[[#This Row],[Наим.]],ЛСР!$B$6:$M$93,3,0)</f>
        <v>Э42 Ø4мм</v>
      </c>
      <c r="D26" s="27" t="str">
        <f>VLOOKUP(М[[#This Row],[Наим.]],ЛСР!$B$6:$M$93,4,0)</f>
        <v>кг</v>
      </c>
      <c r="E26" s="28">
        <f>SUMIF(ЛСР!$B$6:$B$93,$A26,ЛСР!$I$6:$I$93)</f>
        <v>7.32</v>
      </c>
      <c r="F26" s="28"/>
      <c r="G26" s="28">
        <f>ROUND(М[[#This Row],[Количество]]*М[[#This Row],[Цена за ед., руб]],2)</f>
        <v>0</v>
      </c>
      <c r="H26" s="27">
        <f>VLOOKUP(М[[#This Row],[Наим.]],ЛСР!$B$6:$M$93,11,0)</f>
        <v>0</v>
      </c>
      <c r="I26" s="30" t="str">
        <f>VLOOKUP(М[[#This Row],[Наим.]],ЛСР!$B$6:$M$93,12,0)</f>
        <v>Закупка подрядчик</v>
      </c>
    </row>
    <row r="27" spans="1:9" x14ac:dyDescent="0.2">
      <c r="A27" s="96" t="s">
        <v>152</v>
      </c>
      <c r="B27" s="27">
        <f>VLOOKUP(М[[#This Row],[Наим.]],ЛСР!$B$6:$M$93,2,0)</f>
        <v>0</v>
      </c>
      <c r="C27" s="27" t="str">
        <f>VLOOKUP(М[[#This Row],[Наим.]],ЛСР!$B$6:$M$93,3,0)</f>
        <v>по металлу RAL7035</v>
      </c>
      <c r="D27" s="27" t="str">
        <f>VLOOKUP(М[[#This Row],[Наим.]],ЛСР!$B$6:$M$93,4,0)</f>
        <v>л (дм3)</v>
      </c>
      <c r="E27" s="28">
        <f>SUMIF(ЛСР!$B$6:$B$93,$A27,ЛСР!$I$6:$I$93)</f>
        <v>5.54</v>
      </c>
      <c r="F27" s="28"/>
      <c r="G27" s="28">
        <f>ROUND(М[[#This Row],[Количество]]*М[[#This Row],[Цена за ед., руб]],2)</f>
        <v>0</v>
      </c>
      <c r="H27" s="27">
        <f>VLOOKUP(М[[#This Row],[Наим.]],ЛСР!$B$6:$M$93,11,0)</f>
        <v>0</v>
      </c>
      <c r="I27" s="30" t="str">
        <f>VLOOKUP(М[[#This Row],[Наим.]],ЛСР!$B$6:$M$93,12,0)</f>
        <v>Закупка подрядчик</v>
      </c>
    </row>
    <row r="28" spans="1:9" x14ac:dyDescent="0.2">
      <c r="A28" s="97" t="s">
        <v>111</v>
      </c>
      <c r="B28" s="41"/>
      <c r="C28" s="41"/>
      <c r="D28" s="34"/>
      <c r="E28" s="36"/>
      <c r="F28" s="91" t="s">
        <v>128</v>
      </c>
      <c r="G28" s="39">
        <f>SUBTOTAL(109,М[Сумма, руб])</f>
        <v>0</v>
      </c>
      <c r="H28" s="41"/>
      <c r="I28" s="37"/>
    </row>
    <row r="29" spans="1:9" x14ac:dyDescent="0.2">
      <c r="F29" s="98" t="s">
        <v>129</v>
      </c>
      <c r="G29" s="99">
        <f>М[[#Totals],[Сумма, руб]]-ЛСР!K97</f>
        <v>0</v>
      </c>
    </row>
  </sheetData>
  <mergeCells count="1">
    <mergeCell ref="A1:H1"/>
  </mergeCells>
  <conditionalFormatting sqref="A1:A1048576">
    <cfRule type="duplicateValues" dxfId="1" priority="2"/>
    <cfRule type="duplicateValues" dxfId="0" priority="3"/>
  </conditionalFormatting>
  <dataValidations count="1">
    <dataValidation type="list" errorStyle="information" allowBlank="1" showInputMessage="1" showErrorMessage="1" sqref="I3 I5:I27" xr:uid="{EFC109DD-0FCD-4681-83E8-2014C7F61CAA}">
      <formula1>"Закупка подрядчик, Давальческая, Уступка"</formula1>
    </dataValidation>
  </dataValidation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3"/>
  <sheetViews>
    <sheetView workbookViewId="0"/>
  </sheetViews>
  <sheetFormatPr defaultColWidth="10.5" defaultRowHeight="11.45" customHeight="1" x14ac:dyDescent="0.2"/>
  <cols>
    <col min="1" max="2" width="10.5" style="1" customWidth="1"/>
  </cols>
  <sheetData>
    <row r="1" spans="1:2" ht="11.1" customHeight="1" x14ac:dyDescent="0.2">
      <c r="A1" s="1" t="s">
        <v>105</v>
      </c>
      <c r="B1" s="1" t="s">
        <v>106</v>
      </c>
    </row>
    <row r="2" spans="1:2" ht="11.1" customHeight="1" x14ac:dyDescent="0.2">
      <c r="A2" s="1" t="s">
        <v>107</v>
      </c>
      <c r="B2" s="1" t="s">
        <v>108</v>
      </c>
    </row>
    <row r="3" spans="1:2" ht="11.1" customHeight="1" x14ac:dyDescent="0.2">
      <c r="A3" s="1" t="s">
        <v>109</v>
      </c>
      <c r="B3" s="1" t="s">
        <v>110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ЛСР</vt:lpstr>
      <vt:lpstr>Работы</vt:lpstr>
      <vt:lpstr>Материалы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Великоборец Александра Михайловна</cp:lastModifiedBy>
  <dcterms:modified xsi:type="dcterms:W3CDTF">2026-05-12T11:59:12Z</dcterms:modified>
</cp:coreProperties>
</file>