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8\09. Отделка\09.01. Черновая отделка полов\"/>
    </mc:Choice>
  </mc:AlternateContent>
  <xr:revisionPtr revIDLastSave="0" documentId="13_ncr:1_{F9221B3D-D3D6-449B-8649-44DE95F856EA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I92" i="1" l="1"/>
  <c r="I91" i="1"/>
  <c r="I90" i="1"/>
  <c r="I89" i="1"/>
  <c r="I83" i="1"/>
  <c r="I82" i="1"/>
  <c r="I81" i="1"/>
  <c r="I80" i="1"/>
  <c r="I79" i="1"/>
  <c r="I75" i="1"/>
  <c r="I74" i="1"/>
  <c r="I73" i="1"/>
  <c r="I71" i="1" a="1"/>
  <c r="I71" i="1" s="1"/>
  <c r="I67" i="1"/>
  <c r="I66" i="1"/>
  <c r="I65" i="1"/>
  <c r="I64" i="1"/>
  <c r="I63" i="1"/>
  <c r="I62" i="1"/>
  <c r="I61" i="1"/>
  <c r="I57" i="1"/>
  <c r="I56" i="1"/>
  <c r="I55" i="1"/>
  <c r="I54" i="1"/>
  <c r="I53" i="1"/>
  <c r="I52" i="1"/>
  <c r="I51" i="1"/>
  <c r="I47" i="1"/>
  <c r="I46" i="1"/>
  <c r="I45" i="1"/>
  <c r="I44" i="1"/>
  <c r="I43" i="1"/>
  <c r="I42" i="1"/>
  <c r="I41" i="1"/>
  <c r="I37" i="1"/>
  <c r="I36" i="1"/>
  <c r="I35" i="1"/>
  <c r="I34" i="1"/>
  <c r="I33" i="1"/>
  <c r="I32" i="1"/>
  <c r="I31" i="1"/>
  <c r="I30" i="1"/>
  <c r="I26" i="1"/>
  <c r="I22" i="1"/>
  <c r="I21" i="1"/>
  <c r="I17" i="1"/>
  <c r="I16" i="1"/>
  <c r="I15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4" i="3"/>
  <c r="C5" i="3"/>
  <c r="D5" i="3"/>
  <c r="C6" i="3"/>
  <c r="D6" i="3"/>
  <c r="C7" i="3"/>
  <c r="D7" i="3"/>
  <c r="C8" i="3"/>
  <c r="D8" i="3"/>
  <c r="C9" i="3"/>
  <c r="D9" i="3"/>
  <c r="C10" i="3"/>
  <c r="D10" i="3"/>
  <c r="C11" i="3"/>
  <c r="D11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D4" i="3"/>
  <c r="C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4" i="3"/>
  <c r="G21" i="1" l="1"/>
  <c r="G52" i="1"/>
  <c r="G74" i="1"/>
  <c r="H13" i="1"/>
  <c r="I13" i="1" a="1"/>
  <c r="I13" i="1" s="1"/>
  <c r="J13" i="1" s="1"/>
  <c r="J12" i="1" s="1"/>
  <c r="H15" i="1"/>
  <c r="E4" i="3" s="1"/>
  <c r="J15" i="1"/>
  <c r="H16" i="1"/>
  <c r="E5" i="3" s="1"/>
  <c r="J16" i="1"/>
  <c r="H17" i="1"/>
  <c r="J17" i="1" s="1"/>
  <c r="H19" i="1"/>
  <c r="I19" i="1" a="1"/>
  <c r="I19" i="1" s="1"/>
  <c r="H21" i="1"/>
  <c r="H22" i="1"/>
  <c r="E8" i="3" s="1"/>
  <c r="G8" i="3" s="1"/>
  <c r="H24" i="1"/>
  <c r="I24" i="1" a="1"/>
  <c r="I24" i="1" s="1"/>
  <c r="H26" i="1"/>
  <c r="E9" i="3" s="1"/>
  <c r="G9" i="3" s="1"/>
  <c r="H28" i="1"/>
  <c r="I28" i="1" a="1"/>
  <c r="I28" i="1" s="1"/>
  <c r="H30" i="1"/>
  <c r="J30" i="1" s="1"/>
  <c r="H31" i="1"/>
  <c r="J31" i="1" s="1"/>
  <c r="H32" i="1"/>
  <c r="H33" i="1"/>
  <c r="E13" i="3" s="1"/>
  <c r="J33" i="1"/>
  <c r="H34" i="1"/>
  <c r="J34" i="1"/>
  <c r="H35" i="1"/>
  <c r="E15" i="3" s="1"/>
  <c r="G15" i="3" s="1"/>
  <c r="H36" i="1"/>
  <c r="E16" i="3" s="1"/>
  <c r="G16" i="3" s="1"/>
  <c r="H37" i="1"/>
  <c r="E17" i="3" s="1"/>
  <c r="G17" i="3" s="1"/>
  <c r="H39" i="1"/>
  <c r="I39" i="1" a="1"/>
  <c r="I39" i="1" s="1"/>
  <c r="J39" i="1" s="1"/>
  <c r="J38" i="1" s="1"/>
  <c r="H41" i="1"/>
  <c r="J41" i="1" s="1"/>
  <c r="H42" i="1"/>
  <c r="E18" i="3" s="1"/>
  <c r="J42" i="1"/>
  <c r="H43" i="1"/>
  <c r="J43" i="1"/>
  <c r="H44" i="1"/>
  <c r="H45" i="1"/>
  <c r="H46" i="1"/>
  <c r="J46" i="1" s="1"/>
  <c r="H47" i="1"/>
  <c r="J47" i="1"/>
  <c r="H49" i="1"/>
  <c r="I49" i="1" a="1"/>
  <c r="I49" i="1" s="1"/>
  <c r="J49" i="1" s="1"/>
  <c r="J48" i="1" s="1"/>
  <c r="H51" i="1"/>
  <c r="J51" i="1"/>
  <c r="H52" i="1"/>
  <c r="J52" i="1" s="1"/>
  <c r="H53" i="1"/>
  <c r="J53" i="1"/>
  <c r="H54" i="1"/>
  <c r="H55" i="1"/>
  <c r="H56" i="1"/>
  <c r="J56" i="1" s="1"/>
  <c r="H57" i="1"/>
  <c r="J57" i="1" s="1"/>
  <c r="H59" i="1"/>
  <c r="I59" i="1" a="1"/>
  <c r="I59" i="1" s="1"/>
  <c r="J59" i="1" s="1"/>
  <c r="J58" i="1" s="1"/>
  <c r="H61" i="1"/>
  <c r="J61" i="1"/>
  <c r="H62" i="1"/>
  <c r="E19" i="3" s="1"/>
  <c r="J62" i="1"/>
  <c r="H63" i="1"/>
  <c r="J63" i="1" s="1"/>
  <c r="H64" i="1"/>
  <c r="H65" i="1"/>
  <c r="H66" i="1"/>
  <c r="J66" i="1"/>
  <c r="H67" i="1"/>
  <c r="J67" i="1" s="1"/>
  <c r="H71" i="1"/>
  <c r="J71" i="1" s="1"/>
  <c r="J70" i="1" s="1"/>
  <c r="H73" i="1"/>
  <c r="E20" i="3" s="1"/>
  <c r="G20" i="3" s="1"/>
  <c r="J73" i="1"/>
  <c r="H74" i="1"/>
  <c r="E21" i="3" s="1"/>
  <c r="G21" i="3" s="1"/>
  <c r="H75" i="1"/>
  <c r="H77" i="1"/>
  <c r="I77" i="1" a="1"/>
  <c r="I77" i="1" s="1"/>
  <c r="H79" i="1"/>
  <c r="J79" i="1" s="1"/>
  <c r="H80" i="1"/>
  <c r="E22" i="3" s="1"/>
  <c r="G22" i="3" s="1"/>
  <c r="J80" i="1"/>
  <c r="H81" i="1"/>
  <c r="J81" i="1"/>
  <c r="H82" i="1"/>
  <c r="J82" i="1" s="1"/>
  <c r="H83" i="1"/>
  <c r="J83" i="1" s="1"/>
  <c r="H87" i="1"/>
  <c r="I87" i="1" a="1"/>
  <c r="I87" i="1" s="1"/>
  <c r="J87" i="1" s="1"/>
  <c r="J86" i="1" s="1"/>
  <c r="H89" i="1"/>
  <c r="E23" i="3" s="1"/>
  <c r="G23" i="3" s="1"/>
  <c r="J89" i="1"/>
  <c r="H90" i="1"/>
  <c r="E24" i="3" s="1"/>
  <c r="G24" i="3" s="1"/>
  <c r="J90" i="1"/>
  <c r="H91" i="1"/>
  <c r="E25" i="3" s="1"/>
  <c r="G25" i="3" s="1"/>
  <c r="H92" i="1"/>
  <c r="E26" i="3" s="1"/>
  <c r="G26" i="3" s="1"/>
  <c r="G19" i="3"/>
  <c r="G18" i="3"/>
  <c r="G13" i="3"/>
  <c r="G5" i="3"/>
  <c r="G4" i="3"/>
  <c r="E13" i="2"/>
  <c r="E12" i="2"/>
  <c r="E11" i="2"/>
  <c r="E10" i="2"/>
  <c r="E9" i="2"/>
  <c r="E8" i="2"/>
  <c r="E7" i="2"/>
  <c r="E6" i="2"/>
  <c r="E5" i="2"/>
  <c r="E4" i="2"/>
  <c r="E7" i="3" l="1"/>
  <c r="G7" i="3" s="1"/>
  <c r="E14" i="3"/>
  <c r="G14" i="3" s="1"/>
  <c r="E6" i="3"/>
  <c r="G6" i="3" s="1"/>
  <c r="G27" i="3" s="1"/>
  <c r="E12" i="3"/>
  <c r="G12" i="3" s="1"/>
  <c r="E11" i="3"/>
  <c r="G11" i="3" s="1"/>
  <c r="J91" i="1"/>
  <c r="E10" i="3"/>
  <c r="G10" i="3" s="1"/>
  <c r="J26" i="1"/>
  <c r="J25" i="1" s="1"/>
  <c r="J36" i="1"/>
  <c r="J24" i="1"/>
  <c r="J23" i="1" s="1"/>
  <c r="J74" i="1"/>
  <c r="J65" i="1"/>
  <c r="J37" i="1"/>
  <c r="J35" i="1"/>
  <c r="J32" i="1"/>
  <c r="J14" i="1"/>
  <c r="E14" i="2"/>
  <c r="J75" i="1"/>
  <c r="J72" i="1" s="1"/>
  <c r="J21" i="1"/>
  <c r="J19" i="1"/>
  <c r="J18" i="1" s="1"/>
  <c r="J45" i="1"/>
  <c r="J28" i="1"/>
  <c r="J27" i="1" s="1"/>
  <c r="J55" i="1"/>
  <c r="J44" i="1"/>
  <c r="J78" i="1"/>
  <c r="J54" i="1"/>
  <c r="J92" i="1"/>
  <c r="J88" i="1" s="1"/>
  <c r="J77" i="1"/>
  <c r="J76" i="1" s="1"/>
  <c r="J64" i="1"/>
  <c r="J22" i="1"/>
  <c r="J50" i="1" l="1"/>
  <c r="J60" i="1"/>
  <c r="J29" i="1"/>
  <c r="J40" i="1"/>
  <c r="J69" i="1"/>
  <c r="J68" i="1" s="1"/>
  <c r="J95" i="1"/>
  <c r="E15" i="2" s="1"/>
  <c r="J85" i="1"/>
  <c r="J84" i="1" s="1"/>
  <c r="J20" i="1"/>
  <c r="J11" i="1" s="1"/>
  <c r="J10" i="1" s="1"/>
  <c r="J96" i="1" l="1"/>
  <c r="G28" i="3" s="1"/>
  <c r="J9" i="1"/>
  <c r="J93" i="1" s="1"/>
</calcChain>
</file>

<file path=xl/sharedStrings.xml><?xml version="1.0" encoding="utf-8"?>
<sst xmlns="http://schemas.openxmlformats.org/spreadsheetml/2006/main" count="417" uniqueCount="149">
  <si>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</si>
  <si>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Черновая отделка полов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</si>
  <si>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</si>
  <si>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</si>
  <si>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</si>
  <si>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</si>
  <si>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</si>
  <si>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</si>
  <si>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</si>
  <si>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</si>
  <si>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</si>
  <si>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</si>
  <si>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</si>
  <si>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</si>
  <si>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09</t>
  </si>
  <si>
    <t>Внутренняя отделка</t>
  </si>
  <si>
    <t>09.01</t>
  </si>
  <si>
    <t>Черновая отделка полов</t>
  </si>
  <si>
    <t>09.01.01</t>
  </si>
  <si>
    <t>Устройство стяжки в квартирах и МОП</t>
  </si>
  <si>
    <t>09.01.01.00</t>
  </si>
  <si>
    <t>Работы:</t>
  </si>
  <si>
    <t>Заделка тех. отверстий</t>
  </si>
  <si>
    <t>м3</t>
  </si>
  <si>
    <t>Материалы:</t>
  </si>
  <si>
    <t>1</t>
  </si>
  <si>
    <t>Арматура</t>
  </si>
  <si>
    <t>А500С Ø8 ГОСТ 34028-2016</t>
  </si>
  <si>
    <t>т</t>
  </si>
  <si>
    <t>2</t>
  </si>
  <si>
    <t>БСТ B20</t>
  </si>
  <si>
    <t>3</t>
  </si>
  <si>
    <t>кладочная сварная Вр-1 50х50х2</t>
  </si>
  <si>
    <t>м2</t>
  </si>
  <si>
    <t>Изоляция для стяжки</t>
  </si>
  <si>
    <t>С заведением на стены 300 мм за 2 раза</t>
  </si>
  <si>
    <t>120х70мм</t>
  </si>
  <si>
    <t>пог. м</t>
  </si>
  <si>
    <t>CR 65 Waterproof, Ceresit</t>
  </si>
  <si>
    <t>обмазочная цементная</t>
  </si>
  <si>
    <t>кг</t>
  </si>
  <si>
    <t>Устройство сетки</t>
  </si>
  <si>
    <t>ЦПВС оцинк. 20х0,7х0,3</t>
  </si>
  <si>
    <t>Устройство стяжки - тип 1</t>
  </si>
  <si>
    <t>Тип 1 - вспененный полиэтилен + стяжка + краевая изоляция. Помещения квартир: коридоры, комнаты, кухни, прихожие - типовой этаж - 80 мм</t>
  </si>
  <si>
    <t>армированная ТПЛ 48мм</t>
  </si>
  <si>
    <t>м</t>
  </si>
  <si>
    <t>ПЦ-400 Д20</t>
  </si>
  <si>
    <t>среднезернистый МК 1,7-2,0; ГЧ до 3%</t>
  </si>
  <si>
    <t>4</t>
  </si>
  <si>
    <t>химически сшитый 10мм</t>
  </si>
  <si>
    <t>5</t>
  </si>
  <si>
    <t>акриловый</t>
  </si>
  <si>
    <t>туб.</t>
  </si>
  <si>
    <t>Стиз В, туба - 600 мл - наносится внутри квартиры у оконного блока открытого балкона</t>
  </si>
  <si>
    <t>6</t>
  </si>
  <si>
    <t>полипропиленовое 12мм</t>
  </si>
  <si>
    <t>7</t>
  </si>
  <si>
    <t>8х100мм 20м</t>
  </si>
  <si>
    <t>шт</t>
  </si>
  <si>
    <t>8</t>
  </si>
  <si>
    <t>противоморозный</t>
  </si>
  <si>
    <t>л (дм3)</t>
  </si>
  <si>
    <t>Устройство стяжки - тип 2</t>
  </si>
  <si>
    <t>Тип 2 - теплоизоляция + стяжка + краевая изоляция. Вестибюль, тамбур, колясочная,  лифтовой тамбур - 50 мм, нежелые помещения, помещения квартир: коридоры, комнаты, кухни, прихожие (1 этаж) - 80 мм</t>
  </si>
  <si>
    <t>экструзионный 50мм 30 кг/м3</t>
  </si>
  <si>
    <t>Устройство стяжки - тип 3</t>
  </si>
  <si>
    <t>Тип 3 - теплоизоляция + обмазочная изоляция за 2 раза с заведением на стены 300 мм + стяжка. КУИ - 50 мм, сан узлы (квартиры 1 эт.) - 60 мм, сан узлы нежелых помещений - 65 мм;</t>
  </si>
  <si>
    <t>Устройство стяжки - тип 4</t>
  </si>
  <si>
    <t>Тип 4 -  грунтовка + стяжка + краевая изоляция. Лестничная клетка - 60 мм, лифтовой тамбур, коридор - 80 мм, электрощитовая, помещение связи - 135 мм, ИТП, насосная - 75 мм</t>
  </si>
  <si>
    <t>акриловая глуб. проникновения пр. плесени</t>
  </si>
  <si>
    <t>09.01.02</t>
  </si>
  <si>
    <t>Устройство стяжки на балконах</t>
  </si>
  <si>
    <t>09.01.02.00</t>
  </si>
  <si>
    <t>Изоляция для стяжки на открытых балконах</t>
  </si>
  <si>
    <t>в 1 слой</t>
  </si>
  <si>
    <t>оклеечная</t>
  </si>
  <si>
    <t>Технониколь Master</t>
  </si>
  <si>
    <t>битумный</t>
  </si>
  <si>
    <t>Технониколь</t>
  </si>
  <si>
    <t>Стиз А, туба - 600 мл</t>
  </si>
  <si>
    <t>Устройство стяжки на открытых балконах</t>
  </si>
  <si>
    <t>акриловая БетонКонтакт</t>
  </si>
  <si>
    <t>09.01.99</t>
  </si>
  <si>
    <t>Прочие работы</t>
  </si>
  <si>
    <t>09.01.99.00</t>
  </si>
  <si>
    <t>Монтаж уголка с огрунтовкой и окраской</t>
  </si>
  <si>
    <t>63х63х5</t>
  </si>
  <si>
    <t>алкидная ГФ-021</t>
  </si>
  <si>
    <t>Э42 Ø4мм</t>
  </si>
  <si>
    <t>по металлу RAL7035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</si>
  <si>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</si>
  <si>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</si>
  <si>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</si>
  <si>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</si>
  <si>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</si>
  <si>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</si>
  <si>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</si>
  <si>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</si>
  <si>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</si>
  <si>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</si>
  <si>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</si>
  <si>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</si>
  <si>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</si>
  <si>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</si>
  <si>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ГП-72.215.01.09.01 Секция 1_Черновая отделка полов №1</t>
  </si>
  <si>
    <t>2a9df7da-1175-11f1-9618-db392af1e994</t>
  </si>
  <si>
    <t>Итог</t>
  </si>
  <si>
    <t>Локальный сметный расчет (ЛСР) №1</t>
  </si>
  <si>
    <t>Итого:</t>
  </si>
  <si>
    <t>Проверка:</t>
  </si>
  <si>
    <t>Бетон БСТ B20</t>
  </si>
  <si>
    <t>Сетка кладочная сварная Вр-1 50х50х2</t>
  </si>
  <si>
    <t>Лента гидроизоляционная 120х70мм</t>
  </si>
  <si>
    <t>Гидроизоляция обмазочная цементная</t>
  </si>
  <si>
    <t>Сетка ЦПВС оцинк. 20х0,7х0,3</t>
  </si>
  <si>
    <t>Лента клейкая армированная ТПЛ 48мм</t>
  </si>
  <si>
    <t>Цемент ПЦ-400 Д20</t>
  </si>
  <si>
    <t>Песок среднезернистый МК 1,7-2,0; ГЧ до 3%</t>
  </si>
  <si>
    <t>Полиэтилен вспененный химически сшитый 10мм</t>
  </si>
  <si>
    <t>Герметик акриловый</t>
  </si>
  <si>
    <t>Фиброволокно полипропиленовое 12мм</t>
  </si>
  <si>
    <t>Лента кромочная демпферная 8х100мм 20м</t>
  </si>
  <si>
    <t>Пластификатор противоморозный</t>
  </si>
  <si>
    <t>Пенополистирол экструзионный 50мм 30 кг/м3</t>
  </si>
  <si>
    <t>Грунтовка акриловая глуб. проникновения пр. плесени</t>
  </si>
  <si>
    <t>Гидроизоляция оклеечная</t>
  </si>
  <si>
    <t>Праймер битумный</t>
  </si>
  <si>
    <t>Грунтовка акриловая БетонКонтакт</t>
  </si>
  <si>
    <t>Уголок стальной 63х63х5</t>
  </si>
  <si>
    <t>Грунтовка алкидная ГФ-021</t>
  </si>
  <si>
    <t>Электроды Э42 Ø4мм</t>
  </si>
  <si>
    <t>Эмаль по металлу RAL7035</t>
  </si>
  <si>
    <t>Комплекс работ по устройству стяжки включает:</t>
  </si>
  <si>
    <t xml:space="preserve">Устройство полусухой выравнивающей стяжки, укладка рулонной звукоизоляции по полу, устройство краевой и обмазочной изоляции. Заделка тех. отверстий в плите. Монтаж уголка с огрунтовкой и окраской (ral в соответсвии с проектом или по согласованию с главным архитектором и руководителем проекта). </t>
  </si>
  <si>
    <t>Примечание:</t>
  </si>
  <si>
    <t>При производстве работ учитывать:</t>
  </si>
  <si>
    <t>Стяжка армированная фиброволокном М200</t>
  </si>
  <si>
    <t>В стяжке выполнять - устройство усадочных швов (карты площадью не более 6 м2)</t>
  </si>
  <si>
    <t>При укладке рулонной звукоизоляции  выполнять  проклейку швов строительным скотчем</t>
  </si>
  <si>
    <t>Устройство краевой изоляции выполнять по периметру стен, оборачивать стояки отопления, водоснабжения, канализации, включая стены в дверных проемах.</t>
  </si>
  <si>
    <t>Уборку помещений</t>
  </si>
  <si>
    <t>Обеспыливание, уход за готовой стяжкой с увлажнением и последующим укрытием пленкой на срок не менее 14 дней.</t>
  </si>
  <si>
    <t>Заделтка тех. отверстий в плите</t>
  </si>
  <si>
    <t xml:space="preserve">Стоимость строительно-монтажных работ (СМР) учитывает прямые затраты, накладные расходы, сметную прибыль,затраты на все второстепенные, сопутствующие (расходные) материалы и работы,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подъем материала;  вывоз мусора; уборка помещений; обеспыливание, уход за готовой стяжкой с увлажнением и последующим укрытием пленкой; налоги и иные издержки Подрядчика. </t>
  </si>
  <si>
    <t>Стоимость материалов учитывает стоимость доставки до объекта строительства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</si>
  <si>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</si>
  <si>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</si>
  <si>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 т.ч.НДС%: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</si>
</sst>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#,##0.0"/>
    <numFmt numFmtId="166" formatCode="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u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43" fontId="6" fillId="0" borderId="0" applyFont="0" applyFill="0" applyBorder="0" applyAlignment="0" applyProtection="0"/>
    <xf numFmtId="0" fontId="1" fillId="0" borderId="0"/>
  </cellStyleXfs>
  <cellXfs count="11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3" fillId="6" borderId="7" xfId="0" applyFont="1" applyFill="1" applyBorder="1" applyAlignment="1">
      <alignment horizontal="right" vertical="center"/>
    </xf>
    <xf numFmtId="0" fontId="3" fillId="6" borderId="7" xfId="0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4" fontId="4" fillId="6" borderId="7" xfId="0" applyNumberFormat="1" applyFont="1" applyFill="1" applyBorder="1" applyAlignment="1">
      <alignment horizontal="right" vertical="center"/>
    </xf>
    <xf numFmtId="0" fontId="0" fillId="7" borderId="5" xfId="0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64" fontId="6" fillId="5" borderId="5" xfId="0" applyNumberFormat="1" applyFont="1" applyFill="1" applyBorder="1" applyAlignment="1">
      <alignment horizontal="center" vertical="center"/>
    </xf>
    <xf numFmtId="164" fontId="0" fillId="8" borderId="5" xfId="0" applyNumberFormat="1" applyFill="1" applyBorder="1" applyAlignment="1">
      <alignment horizontal="center" vertical="center"/>
    </xf>
    <xf numFmtId="164" fontId="6" fillId="8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4" fontId="6" fillId="8" borderId="13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center" wrapText="1"/>
    </xf>
    <xf numFmtId="43" fontId="5" fillId="0" borderId="0" xfId="2" applyFont="1" applyAlignment="1">
      <alignment horizontal="center" vertical="center" wrapText="1"/>
    </xf>
    <xf numFmtId="43" fontId="5" fillId="0" borderId="0" xfId="2" applyFont="1" applyAlignment="1">
      <alignment horizontal="center" vertical="center"/>
    </xf>
    <xf numFmtId="4" fontId="5" fillId="0" borderId="0" xfId="1" applyNumberFormat="1" applyFont="1" applyAlignment="1">
      <alignment horizontal="center" vertical="center"/>
    </xf>
    <xf numFmtId="2" fontId="5" fillId="0" borderId="0" xfId="2" applyNumberFormat="1" applyFont="1" applyAlignment="1">
      <alignment horizontal="center" vertical="center"/>
    </xf>
    <xf numFmtId="4" fontId="8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43" fontId="5" fillId="0" borderId="0" xfId="2" applyFont="1" applyAlignment="1">
      <alignment horizontal="left" vertical="center"/>
    </xf>
    <xf numFmtId="2" fontId="5" fillId="0" borderId="0" xfId="2" applyNumberFormat="1" applyFont="1" applyAlignment="1">
      <alignment horizontal="left" vertical="center"/>
    </xf>
    <xf numFmtId="0" fontId="6" fillId="0" borderId="0" xfId="1" applyAlignment="1">
      <alignment horizontal="center" vertical="center" wrapText="1"/>
    </xf>
    <xf numFmtId="0" fontId="6" fillId="0" borderId="0" xfId="1" applyAlignment="1">
      <alignment horizontal="left" vertical="center" wrapText="1"/>
    </xf>
    <xf numFmtId="0" fontId="6" fillId="0" borderId="0" xfId="1" applyAlignment="1">
      <alignment vertical="center"/>
    </xf>
    <xf numFmtId="0" fontId="6" fillId="0" borderId="0" xfId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horizontal="left" vertical="center" wrapText="1"/>
    </xf>
    <xf numFmtId="0" fontId="6" fillId="0" borderId="0" xfId="3" applyFont="1" applyAlignment="1">
      <alignment vertical="center"/>
    </xf>
    <xf numFmtId="0" fontId="3" fillId="6" borderId="9" xfId="0" applyFont="1" applyFill="1" applyBorder="1" applyAlignment="1">
      <alignment horizontal="right" vertical="center"/>
    </xf>
  </cellXfs>
  <cellStyles count="4">
    <cellStyle name="Обычный" xfId="0" builtinId="0"/>
    <cellStyle name="Обычный 3" xfId="1" xr:uid="{3E942260-1DDC-4667-A8E0-A56332C45E4F}"/>
    <cellStyle name="Обычный 3 2 2" xfId="3" xr:uid="{C3456CAE-64BD-4730-8791-DC1B9B9EE07B}"/>
    <cellStyle name="Финансовый 2" xfId="2" xr:uid="{E66E580A-CE05-494E-92B8-BB8451A33525}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867889-1528-4D27-A594-ECE799F59C08}" name="Р" displayName="Р" ref="A3:F14" totalsRowCount="1" headerRowDxfId="39" headerRowBorderDxfId="38" tableBorderDxfId="37" totalsRowBorderDxfId="36">
  <autoFilter ref="A3:F13" xr:uid="{63867889-1528-4D27-A594-ECE799F59C08}"/>
  <tableColumns count="6">
    <tableColumn id="1" xr3:uid="{DD6FFA18-2F92-425C-8E46-AB203F99A4D0}" name="Наименование" totalsRowLabel="Итог" dataDxfId="32" totalsRowDxfId="5"/>
    <tableColumn id="2" xr3:uid="{6C5B9605-A972-4F1D-9753-1058035AB340}" name="Ед. изм." dataDxfId="31" totalsRowDxfId="4"/>
    <tableColumn id="3" xr3:uid="{C04FB904-8825-410D-8D0C-15FBCF5921DA}" name="Количество" dataDxfId="30" totalsRowDxfId="3"/>
    <tableColumn id="4" xr3:uid="{D32E1510-A9BC-4FD2-AF9A-FA75DD21C523}" name="Цена за ед., руб" totalsRowLabel="Итого:" dataDxfId="29" totalsRowDxfId="2"/>
    <tableColumn id="5" xr3:uid="{8A7AC96A-6798-4B24-9703-1B2E56F44E1D}" name="Сумма, руб" totalsRowFunction="sum" dataDxfId="28" totalsRowDxfId="1">
      <calculatedColumnFormula>ROUND(Р[[#This Row],[Количество]]*Р[[#This Row],[Цена за ед., руб]],2)</calculatedColumnFormula>
    </tableColumn>
    <tableColumn id="6" xr3:uid="{EF296912-DE53-4039-85E8-821ACEBA7CE2}" name="Примечание" dataDxfId="27" totalsRow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386C19-796D-4CF1-9691-BD769038991D}" name="М" displayName="М" ref="A3:I27" totalsRowCount="1" headerRowDxfId="26" dataDxfId="24" totalsRowDxfId="25" headerRowBorderDxfId="35" tableBorderDxfId="34" totalsRowBorderDxfId="33">
  <autoFilter ref="A3:I26" xr:uid="{C5386C19-796D-4CF1-9691-BD769038991D}"/>
  <tableColumns count="9">
    <tableColumn id="1" xr3:uid="{FFCFBC3C-F8C0-43AA-A08F-9BA96250EABB}" name="Наим." totalsRowLabel="Итог" dataDxfId="23" totalsRowDxfId="14"/>
    <tableColumn id="2" xr3:uid="{87A99267-AD93-44F1-BA81-62E40CC7ACAA}" name="Артикул, марка, произв." dataDxfId="22" totalsRowDxfId="13">
      <calculatedColumnFormula>VLOOKUP(М[[#This Row],[Наим.]],ЛСР!$B$6:$L$92,2,0)</calculatedColumnFormula>
    </tableColumn>
    <tableColumn id="3" xr3:uid="{C0A68A7C-AEE0-4C77-831A-16E52DF39CF3}" name="Хар-ка" dataDxfId="21" totalsRowDxfId="12">
      <calculatedColumnFormula>VLOOKUP(М[[#This Row],[Наим.]],ЛСР!$B$6:$L$92,3,0)</calculatedColumnFormula>
    </tableColumn>
    <tableColumn id="4" xr3:uid="{E8ECAE63-835E-454F-9899-254E31BA6A2F}" name="Ед. изм." dataDxfId="20" totalsRowDxfId="11">
      <calculatedColumnFormula>VLOOKUP(М[[#This Row],[Наим.]],ЛСР!$B$6:$L$92,4,0)</calculatedColumnFormula>
    </tableColumn>
    <tableColumn id="5" xr3:uid="{7A89B9B3-72DF-4C70-894C-C252F8170EA8}" name="Количество" dataDxfId="19" totalsRowDxfId="10">
      <calculatedColumnFormula>SUMIF(ЛСР!$B$6:$B$92,$A4,ЛСР!$H$6:$H$92)</calculatedColumnFormula>
    </tableColumn>
    <tableColumn id="6" xr3:uid="{29528FC9-9AF1-4F7E-8695-E27F11708F6C}" name="Цена за ед., руб" totalsRowLabel="Итого:" dataDxfId="18" totalsRowDxfId="9"/>
    <tableColumn id="7" xr3:uid="{2D885748-0E99-4CF8-8843-EA28EC864F2F}" name="Сумма, руб" totalsRowFunction="sum" dataDxfId="17" totalsRowDxfId="8">
      <calculatedColumnFormula>ROUND(М[[#This Row],[Количество]]*М[[#This Row],[Цена за ед., руб]],2)</calculatedColumnFormula>
    </tableColumn>
    <tableColumn id="8" xr3:uid="{90C07F27-47E1-4806-B7E9-DF03E9AAC043}" name="Прим." dataDxfId="16" totalsRowDxfId="7">
      <calculatedColumnFormula>VLOOKUP(М[[#This Row],[Наим.]],ЛСР!$B$6:$L$92,10,0)</calculatedColumnFormula>
    </tableColumn>
    <tableColumn id="9" xr3:uid="{BADC4DA3-A99A-407C-8824-E1CD5435B1AE}" name="Форма закупа" dataDxfId="15" totalsRowDxfId="6">
      <calculatedColumnFormula>VLOOKUP(М[[#This Row],[Наим.]],ЛСР!$B$6:$L$92,11,0)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P116"/>
  <sheetViews>
    <sheetView tabSelected="1" zoomScale="130" zoomScaleNormal="130" workbookViewId="0">
      <pane ySplit="7" topLeftCell="A95" activePane="bottomLeft" state="frozen"/>
      <selection pane="bottomLeft" activeCell="D77" sqref="D77:D78"/>
    </sheetView>
  </sheetViews>
  <sheetFormatPr defaultColWidth="10.5" defaultRowHeight="11.25" outlineLevelRow="4" x14ac:dyDescent="0.2"/>
  <cols>
    <col min="1" max="1" width="9.83203125" style="59" customWidth="1"/>
    <col min="2" max="2" width="39.5" style="59" customWidth="1"/>
    <col min="3" max="3" width="15.83203125" style="59" customWidth="1"/>
    <col min="4" max="4" width="17" style="59" customWidth="1"/>
    <col min="5" max="5" width="10" style="59" customWidth="1"/>
    <col min="6" max="6" width="9.6640625" style="80" customWidth="1"/>
    <col min="7" max="7" width="10.5" style="59" customWidth="1"/>
    <col min="8" max="8" width="14.6640625" style="59" customWidth="1"/>
    <col min="9" max="9" width="16" style="59" customWidth="1"/>
    <col min="10" max="10" width="17" style="59" customWidth="1"/>
    <col min="11" max="11" width="35" style="59" customWidth="1"/>
    <col min="12" max="12" width="23.33203125" style="59" customWidth="1"/>
    <col min="13" max="16384" width="10.5" style="60"/>
  </cols>
  <sheetData>
    <row r="2" spans="1:12" x14ac:dyDescent="0.2">
      <c r="B2" s="61" t="s">
        <v>108</v>
      </c>
      <c r="C2" s="61"/>
      <c r="D2" s="61"/>
      <c r="E2" s="61"/>
      <c r="F2" s="61"/>
      <c r="G2" s="61"/>
      <c r="H2" s="61"/>
      <c r="I2" s="61"/>
      <c r="J2" s="61"/>
    </row>
    <row r="3" spans="1:12" x14ac:dyDescent="0.2">
      <c r="B3" s="62" t="s">
        <v>0</v>
      </c>
      <c r="C3" s="62"/>
      <c r="D3" s="62"/>
      <c r="E3" s="62"/>
      <c r="F3" s="62"/>
      <c r="G3" s="62"/>
      <c r="H3" s="62"/>
      <c r="I3" s="62"/>
      <c r="J3" s="62"/>
    </row>
    <row r="4" spans="1:12" x14ac:dyDescent="0.2">
      <c r="B4" s="62" t="s">
        <v>1</v>
      </c>
      <c r="C4" s="62"/>
      <c r="D4" s="62"/>
      <c r="E4" s="62"/>
      <c r="F4" s="62"/>
      <c r="G4" s="62"/>
      <c r="H4" s="62"/>
      <c r="I4" s="62"/>
      <c r="J4" s="62"/>
    </row>
    <row r="6" spans="1:12" x14ac:dyDescent="0.2">
      <c r="A6" s="48" t="s">
        <v>2</v>
      </c>
      <c r="B6" s="48" t="s">
        <v>3</v>
      </c>
      <c r="C6" s="52" t="s">
        <v>4</v>
      </c>
      <c r="D6" s="54" t="s">
        <v>5</v>
      </c>
      <c r="E6" s="48" t="s">
        <v>6</v>
      </c>
      <c r="F6" s="50" t="s">
        <v>7</v>
      </c>
      <c r="G6" s="56" t="s">
        <v>8</v>
      </c>
      <c r="H6" s="48" t="s">
        <v>9</v>
      </c>
      <c r="I6" s="50" t="s">
        <v>10</v>
      </c>
      <c r="J6" s="50" t="s">
        <v>11</v>
      </c>
      <c r="K6" s="48" t="s">
        <v>12</v>
      </c>
      <c r="L6" s="50" t="s">
        <v>13</v>
      </c>
    </row>
    <row r="7" spans="1:12" x14ac:dyDescent="0.2">
      <c r="A7" s="49"/>
      <c r="B7" s="49"/>
      <c r="C7" s="53"/>
      <c r="D7" s="55"/>
      <c r="E7" s="49"/>
      <c r="F7" s="51"/>
      <c r="G7" s="57"/>
      <c r="H7" s="49"/>
      <c r="I7" s="51"/>
      <c r="J7" s="51"/>
      <c r="K7" s="49"/>
      <c r="L7" s="51"/>
    </row>
    <row r="8" spans="1:12" x14ac:dyDescent="0.2">
      <c r="A8" s="4" t="s">
        <v>14</v>
      </c>
      <c r="B8" s="63" t="s">
        <v>15</v>
      </c>
      <c r="C8" s="3"/>
      <c r="D8" s="3"/>
      <c r="E8" s="4"/>
      <c r="F8" s="4"/>
      <c r="G8" s="5"/>
      <c r="H8" s="5"/>
      <c r="I8" s="40"/>
      <c r="J8" s="40"/>
      <c r="K8" s="3"/>
      <c r="L8" s="3"/>
    </row>
    <row r="9" spans="1:12" outlineLevel="1" x14ac:dyDescent="0.2">
      <c r="A9" s="7" t="s">
        <v>16</v>
      </c>
      <c r="B9" s="64" t="s">
        <v>17</v>
      </c>
      <c r="C9" s="6"/>
      <c r="D9" s="6"/>
      <c r="E9" s="7"/>
      <c r="F9" s="7"/>
      <c r="G9" s="8"/>
      <c r="H9" s="8"/>
      <c r="I9" s="41"/>
      <c r="J9" s="41">
        <f>SUM($J$84,$J$68,$J$10)</f>
        <v>0</v>
      </c>
      <c r="K9" s="6"/>
      <c r="L9" s="6"/>
    </row>
    <row r="10" spans="1:12" ht="22.5" outlineLevel="2" x14ac:dyDescent="0.2">
      <c r="A10" s="10" t="s">
        <v>18</v>
      </c>
      <c r="B10" s="65" t="s">
        <v>19</v>
      </c>
      <c r="C10" s="9"/>
      <c r="D10" s="9"/>
      <c r="E10" s="10"/>
      <c r="F10" s="10"/>
      <c r="G10" s="11"/>
      <c r="H10" s="11"/>
      <c r="I10" s="42"/>
      <c r="J10" s="42">
        <f>SUM($J$11)</f>
        <v>0</v>
      </c>
      <c r="K10" s="12"/>
      <c r="L10" s="12"/>
    </row>
    <row r="11" spans="1:12" ht="22.5" outlineLevel="3" x14ac:dyDescent="0.2">
      <c r="A11" s="10" t="s">
        <v>20</v>
      </c>
      <c r="B11" s="65" t="s">
        <v>19</v>
      </c>
      <c r="C11" s="9"/>
      <c r="D11" s="9"/>
      <c r="E11" s="10"/>
      <c r="F11" s="10"/>
      <c r="G11" s="11"/>
      <c r="H11" s="11"/>
      <c r="I11" s="42"/>
      <c r="J11" s="42">
        <f>SUM($J$60,$J$58,$J$50,$J$48,$J$40,$J$38,$J$29,$J$27,$J$25,$J$23,$J$20,$J$18,$J$14,$J$12)</f>
        <v>0</v>
      </c>
      <c r="K11" s="12"/>
      <c r="L11" s="12"/>
    </row>
    <row r="12" spans="1:12" outlineLevel="4" x14ac:dyDescent="0.2">
      <c r="A12" s="66"/>
      <c r="B12" s="65" t="s">
        <v>21</v>
      </c>
      <c r="C12" s="13"/>
      <c r="D12" s="13"/>
      <c r="E12" s="13"/>
      <c r="F12" s="13"/>
      <c r="G12" s="13"/>
      <c r="H12" s="13"/>
      <c r="I12" s="43"/>
      <c r="J12" s="44">
        <f>SUM($J$13)</f>
        <v>0</v>
      </c>
      <c r="K12" s="11"/>
      <c r="L12" s="11"/>
    </row>
    <row r="13" spans="1:12" outlineLevel="4" x14ac:dyDescent="0.2">
      <c r="A13" s="15"/>
      <c r="B13" s="67" t="s">
        <v>22</v>
      </c>
      <c r="C13" s="14"/>
      <c r="D13" s="14"/>
      <c r="E13" s="15" t="s">
        <v>23</v>
      </c>
      <c r="F13" s="15"/>
      <c r="G13" s="16">
        <v>5.26</v>
      </c>
      <c r="H13" s="16">
        <f>SUM($G$13:$G$13)</f>
        <v>5.26</v>
      </c>
      <c r="I13" s="18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18">
        <f>ROUND($H$13*$I$13,2)</f>
        <v>0</v>
      </c>
      <c r="K13" s="14"/>
      <c r="L13" s="14"/>
    </row>
    <row r="14" spans="1:12" outlineLevel="4" x14ac:dyDescent="0.2">
      <c r="A14" s="66"/>
      <c r="B14" s="65" t="s">
        <v>24</v>
      </c>
      <c r="C14" s="13"/>
      <c r="D14" s="13"/>
      <c r="E14" s="13"/>
      <c r="F14" s="13"/>
      <c r="G14" s="13"/>
      <c r="H14" s="13"/>
      <c r="I14" s="43"/>
      <c r="J14" s="44">
        <f>SUM($J$15:$J$17)</f>
        <v>0</v>
      </c>
      <c r="K14" s="11"/>
      <c r="L14" s="11"/>
    </row>
    <row r="15" spans="1:12" ht="22.5" outlineLevel="4" x14ac:dyDescent="0.2">
      <c r="A15" s="15" t="s">
        <v>25</v>
      </c>
      <c r="B15" s="67" t="s">
        <v>26</v>
      </c>
      <c r="C15" s="14"/>
      <c r="D15" s="14" t="s">
        <v>27</v>
      </c>
      <c r="E15" s="15" t="s">
        <v>28</v>
      </c>
      <c r="F15" s="83">
        <v>1.03</v>
      </c>
      <c r="G15" s="17">
        <v>8.8999999999999996E-2</v>
      </c>
      <c r="H15" s="17">
        <f>SUM($G$15:$G$15)</f>
        <v>8.8999999999999996E-2</v>
      </c>
      <c r="I15" s="90">
        <f>VLOOKUP(B15,М[#All],6,0)</f>
        <v>0</v>
      </c>
      <c r="J15" s="18">
        <f>ROUND($H$15*$I$15,2)</f>
        <v>0</v>
      </c>
      <c r="K15" s="14"/>
      <c r="L15" s="14" t="s">
        <v>102</v>
      </c>
    </row>
    <row r="16" spans="1:12" outlineLevel="4" x14ac:dyDescent="0.2">
      <c r="A16" s="15" t="s">
        <v>29</v>
      </c>
      <c r="B16" s="67" t="s">
        <v>111</v>
      </c>
      <c r="C16" s="14"/>
      <c r="D16" s="14" t="s">
        <v>30</v>
      </c>
      <c r="E16" s="15" t="s">
        <v>23</v>
      </c>
      <c r="F16" s="83">
        <v>1.0149999999999999</v>
      </c>
      <c r="G16" s="16">
        <v>5.34</v>
      </c>
      <c r="H16" s="16">
        <f>SUM($G$16:$G$16)</f>
        <v>5.34</v>
      </c>
      <c r="I16" s="90">
        <f>VLOOKUP(B16,М[#All],6,0)</f>
        <v>0</v>
      </c>
      <c r="J16" s="18">
        <f>ROUND($H$16*$I$16,2)</f>
        <v>0</v>
      </c>
      <c r="K16" s="14"/>
      <c r="L16" s="14" t="s">
        <v>102</v>
      </c>
    </row>
    <row r="17" spans="1:12" ht="33.75" outlineLevel="4" x14ac:dyDescent="0.2">
      <c r="A17" s="15" t="s">
        <v>31</v>
      </c>
      <c r="B17" s="67" t="s">
        <v>112</v>
      </c>
      <c r="C17" s="14"/>
      <c r="D17" s="14" t="s">
        <v>32</v>
      </c>
      <c r="E17" s="15" t="s">
        <v>33</v>
      </c>
      <c r="F17" s="83">
        <v>1.1000000000000001</v>
      </c>
      <c r="G17" s="16">
        <v>32.15</v>
      </c>
      <c r="H17" s="16">
        <f>SUM($G$17:$G$17)</f>
        <v>32.15</v>
      </c>
      <c r="I17" s="90">
        <f>VLOOKUP(B17,М[#All],6,0)</f>
        <v>0</v>
      </c>
      <c r="J17" s="18">
        <f>ROUND($H$17*$I$17,2)</f>
        <v>0</v>
      </c>
      <c r="K17" s="14"/>
      <c r="L17" s="14" t="s">
        <v>102</v>
      </c>
    </row>
    <row r="18" spans="1:12" outlineLevel="4" x14ac:dyDescent="0.2">
      <c r="A18" s="66"/>
      <c r="B18" s="65" t="s">
        <v>21</v>
      </c>
      <c r="C18" s="13"/>
      <c r="D18" s="13"/>
      <c r="E18" s="13"/>
      <c r="F18" s="13"/>
      <c r="G18" s="13"/>
      <c r="H18" s="13"/>
      <c r="I18" s="43"/>
      <c r="J18" s="44">
        <f>SUM($J$19)</f>
        <v>0</v>
      </c>
      <c r="K18" s="11"/>
      <c r="L18" s="11"/>
    </row>
    <row r="19" spans="1:12" ht="22.5" outlineLevel="4" x14ac:dyDescent="0.2">
      <c r="A19" s="15"/>
      <c r="B19" s="67" t="s">
        <v>34</v>
      </c>
      <c r="C19" s="14"/>
      <c r="D19" s="14"/>
      <c r="E19" s="15" t="s">
        <v>33</v>
      </c>
      <c r="F19" s="15"/>
      <c r="G19" s="18">
        <v>1477.05</v>
      </c>
      <c r="H19" s="18">
        <f>SUM($G$19:$G$19)</f>
        <v>1477.05</v>
      </c>
      <c r="I19" s="18">
        <f t="array" ref="I19">INDEX(Р[Цена за ед., руб],MATCH(1,IF(($B19=Р[Наименование])*($K19=Р[Примечание]),{1},($B19=Р[Наименование])*($K19=Р[Примечание])),0))</f>
        <v>0</v>
      </c>
      <c r="J19" s="18">
        <f>ROUND($H$19*$I$19,2)</f>
        <v>0</v>
      </c>
      <c r="K19" s="14" t="s">
        <v>35</v>
      </c>
      <c r="L19" s="14"/>
    </row>
    <row r="20" spans="1:12" outlineLevel="4" x14ac:dyDescent="0.2">
      <c r="A20" s="66"/>
      <c r="B20" s="65" t="s">
        <v>24</v>
      </c>
      <c r="C20" s="13"/>
      <c r="D20" s="13"/>
      <c r="E20" s="13"/>
      <c r="F20" s="13"/>
      <c r="G20" s="13"/>
      <c r="H20" s="13"/>
      <c r="I20" s="43"/>
      <c r="J20" s="44">
        <f>SUM($J$21:$J$22)</f>
        <v>0</v>
      </c>
      <c r="K20" s="11"/>
      <c r="L20" s="11"/>
    </row>
    <row r="21" spans="1:12" outlineLevel="4" x14ac:dyDescent="0.2">
      <c r="A21" s="15" t="s">
        <v>25</v>
      </c>
      <c r="B21" s="67" t="s">
        <v>113</v>
      </c>
      <c r="C21" s="14"/>
      <c r="D21" s="14" t="s">
        <v>36</v>
      </c>
      <c r="E21" s="15" t="s">
        <v>37</v>
      </c>
      <c r="F21" s="82">
        <v>1.05</v>
      </c>
      <c r="G21" s="18">
        <f>(1.05+0.218)*G19</f>
        <v>1872.8994</v>
      </c>
      <c r="H21" s="18">
        <f>SUM($G$21:$G$21)</f>
        <v>1872.8994</v>
      </c>
      <c r="I21" s="90">
        <f>VLOOKUP(B21,М[#All],6,0)</f>
        <v>0</v>
      </c>
      <c r="J21" s="18">
        <f>ROUND($H$21*$I$21,2)</f>
        <v>0</v>
      </c>
      <c r="K21" s="14"/>
      <c r="L21" s="14" t="s">
        <v>102</v>
      </c>
    </row>
    <row r="22" spans="1:12" ht="33.75" outlineLevel="4" x14ac:dyDescent="0.2">
      <c r="A22" s="15" t="s">
        <v>29</v>
      </c>
      <c r="B22" s="67" t="s">
        <v>114</v>
      </c>
      <c r="C22" s="14" t="s">
        <v>38</v>
      </c>
      <c r="D22" s="14" t="s">
        <v>39</v>
      </c>
      <c r="E22" s="15" t="s">
        <v>40</v>
      </c>
      <c r="F22" s="83">
        <v>4</v>
      </c>
      <c r="G22" s="19">
        <v>5908.2</v>
      </c>
      <c r="H22" s="19">
        <f>SUM($G$22:$G$22)</f>
        <v>5908.2</v>
      </c>
      <c r="I22" s="90">
        <f>VLOOKUP(B22,М[#All],6,0)</f>
        <v>0</v>
      </c>
      <c r="J22" s="18">
        <f>ROUND($H$22*$I$22,2)</f>
        <v>0</v>
      </c>
      <c r="K22" s="14" t="s">
        <v>38</v>
      </c>
      <c r="L22" s="14" t="s">
        <v>102</v>
      </c>
    </row>
    <row r="23" spans="1:12" outlineLevel="4" x14ac:dyDescent="0.2">
      <c r="A23" s="66"/>
      <c r="B23" s="65" t="s">
        <v>21</v>
      </c>
      <c r="C23" s="13"/>
      <c r="D23" s="13"/>
      <c r="E23" s="13"/>
      <c r="F23" s="13"/>
      <c r="G23" s="13"/>
      <c r="H23" s="13"/>
      <c r="I23" s="43"/>
      <c r="J23" s="44">
        <f>SUM($J$24)</f>
        <v>0</v>
      </c>
      <c r="K23" s="11"/>
      <c r="L23" s="11"/>
    </row>
    <row r="24" spans="1:12" outlineLevel="4" x14ac:dyDescent="0.2">
      <c r="A24" s="15"/>
      <c r="B24" s="67" t="s">
        <v>41</v>
      </c>
      <c r="C24" s="14"/>
      <c r="D24" s="14"/>
      <c r="E24" s="15" t="s">
        <v>33</v>
      </c>
      <c r="F24" s="15"/>
      <c r="G24" s="18">
        <v>2026.73</v>
      </c>
      <c r="H24" s="18">
        <f>SUM($G$24:$G$24)</f>
        <v>2026.73</v>
      </c>
      <c r="I24" s="18">
        <f t="array" ref="I24">INDEX(Р[Цена за ед., руб],MATCH(1,IF(($B24=Р[Наименование])*($K24=Р[Примечание]),{1},($B24=Р[Наименование])*($K24=Р[Примечание])),0))</f>
        <v>0</v>
      </c>
      <c r="J24" s="18">
        <f>ROUND($H$24*$I$24,2)</f>
        <v>0</v>
      </c>
      <c r="K24" s="14"/>
      <c r="L24" s="14"/>
    </row>
    <row r="25" spans="1:12" outlineLevel="4" x14ac:dyDescent="0.2">
      <c r="A25" s="66"/>
      <c r="B25" s="65" t="s">
        <v>24</v>
      </c>
      <c r="C25" s="13"/>
      <c r="D25" s="13"/>
      <c r="E25" s="13"/>
      <c r="F25" s="13"/>
      <c r="G25" s="13"/>
      <c r="H25" s="13"/>
      <c r="I25" s="43"/>
      <c r="J25" s="44">
        <f>SUM($J$26)</f>
        <v>0</v>
      </c>
      <c r="K25" s="11"/>
      <c r="L25" s="11"/>
    </row>
    <row r="26" spans="1:12" ht="22.5" outlineLevel="4" x14ac:dyDescent="0.2">
      <c r="A26" s="15" t="s">
        <v>25</v>
      </c>
      <c r="B26" s="67" t="s">
        <v>115</v>
      </c>
      <c r="C26" s="14"/>
      <c r="D26" s="14" t="s">
        <v>42</v>
      </c>
      <c r="E26" s="15" t="s">
        <v>33</v>
      </c>
      <c r="F26" s="83">
        <v>1.05</v>
      </c>
      <c r="G26" s="18">
        <v>2128.04</v>
      </c>
      <c r="H26" s="18">
        <f>SUM($G$26:$G$26)</f>
        <v>2128.04</v>
      </c>
      <c r="I26" s="90">
        <f>VLOOKUP(B26,М[#All],6,0)</f>
        <v>0</v>
      </c>
      <c r="J26" s="18">
        <f>ROUND($H$26*$I$26,2)</f>
        <v>0</v>
      </c>
      <c r="K26" s="14"/>
      <c r="L26" s="14" t="s">
        <v>102</v>
      </c>
    </row>
    <row r="27" spans="1:12" outlineLevel="4" x14ac:dyDescent="0.2">
      <c r="A27" s="66"/>
      <c r="B27" s="65" t="s">
        <v>21</v>
      </c>
      <c r="C27" s="13"/>
      <c r="D27" s="13"/>
      <c r="E27" s="13"/>
      <c r="F27" s="13"/>
      <c r="G27" s="13"/>
      <c r="H27" s="13"/>
      <c r="I27" s="43"/>
      <c r="J27" s="44">
        <f>SUM($J$28)</f>
        <v>0</v>
      </c>
      <c r="K27" s="11"/>
      <c r="L27" s="11"/>
    </row>
    <row r="28" spans="1:12" ht="56.25" outlineLevel="4" x14ac:dyDescent="0.2">
      <c r="A28" s="15"/>
      <c r="B28" s="67" t="s">
        <v>43</v>
      </c>
      <c r="C28" s="14"/>
      <c r="D28" s="14"/>
      <c r="E28" s="15" t="s">
        <v>33</v>
      </c>
      <c r="F28" s="15"/>
      <c r="G28" s="18">
        <v>7754.66</v>
      </c>
      <c r="H28" s="18">
        <f>SUM($G$28:$G$28)</f>
        <v>7754.66</v>
      </c>
      <c r="I28" s="18">
        <f t="array" ref="I28">INDEX(Р[Цена за ед., руб],MATCH(1,IF(($B28=Р[Наименование])*($K28=Р[Примечание]),{1},($B28=Р[Наименование])*($K28=Р[Примечание])),0))</f>
        <v>0</v>
      </c>
      <c r="J28" s="18">
        <f>ROUND($H$28*$I$28,2)</f>
        <v>0</v>
      </c>
      <c r="K28" s="14" t="s">
        <v>44</v>
      </c>
      <c r="L28" s="14"/>
    </row>
    <row r="29" spans="1:12" outlineLevel="4" x14ac:dyDescent="0.2">
      <c r="A29" s="66"/>
      <c r="B29" s="65" t="s">
        <v>24</v>
      </c>
      <c r="C29" s="13"/>
      <c r="D29" s="13"/>
      <c r="E29" s="13"/>
      <c r="F29" s="13"/>
      <c r="G29" s="13"/>
      <c r="H29" s="13"/>
      <c r="I29" s="43"/>
      <c r="J29" s="44">
        <f>SUM($J$30:$J$37)</f>
        <v>0</v>
      </c>
      <c r="K29" s="11"/>
      <c r="L29" s="11"/>
    </row>
    <row r="30" spans="1:12" ht="22.5" outlineLevel="4" x14ac:dyDescent="0.2">
      <c r="A30" s="15" t="s">
        <v>25</v>
      </c>
      <c r="B30" s="67" t="s">
        <v>116</v>
      </c>
      <c r="C30" s="14"/>
      <c r="D30" s="14" t="s">
        <v>45</v>
      </c>
      <c r="E30" s="15" t="s">
        <v>46</v>
      </c>
      <c r="F30" s="83">
        <v>1.05</v>
      </c>
      <c r="G30" s="18">
        <v>14488.48</v>
      </c>
      <c r="H30" s="18">
        <f>SUM($G$30:$G$30)</f>
        <v>14488.48</v>
      </c>
      <c r="I30" s="90">
        <f>VLOOKUP(B30,М[#All],6,0)</f>
        <v>0</v>
      </c>
      <c r="J30" s="18">
        <f>ROUND($H$30*$I$30,2)</f>
        <v>0</v>
      </c>
      <c r="K30" s="14"/>
      <c r="L30" s="14" t="s">
        <v>102</v>
      </c>
    </row>
    <row r="31" spans="1:12" outlineLevel="4" x14ac:dyDescent="0.2">
      <c r="A31" s="15" t="s">
        <v>29</v>
      </c>
      <c r="B31" s="67" t="s">
        <v>117</v>
      </c>
      <c r="C31" s="14"/>
      <c r="D31" s="14" t="s">
        <v>47</v>
      </c>
      <c r="E31" s="15" t="s">
        <v>40</v>
      </c>
      <c r="F31" s="83">
        <v>460</v>
      </c>
      <c r="G31" s="18">
        <v>285370.34999999998</v>
      </c>
      <c r="H31" s="18">
        <f>SUM($G$31:$G$31)</f>
        <v>285370.34999999998</v>
      </c>
      <c r="I31" s="90">
        <f>VLOOKUP(B31,М[#All],6,0)</f>
        <v>0</v>
      </c>
      <c r="J31" s="18">
        <f>ROUND($H$31*$I$31,2)</f>
        <v>0</v>
      </c>
      <c r="K31" s="14"/>
      <c r="L31" s="14" t="s">
        <v>102</v>
      </c>
    </row>
    <row r="32" spans="1:12" ht="33.75" outlineLevel="4" x14ac:dyDescent="0.2">
      <c r="A32" s="15" t="s">
        <v>31</v>
      </c>
      <c r="B32" s="67" t="s">
        <v>118</v>
      </c>
      <c r="C32" s="14"/>
      <c r="D32" s="14" t="s">
        <v>48</v>
      </c>
      <c r="E32" s="15" t="s">
        <v>28</v>
      </c>
      <c r="F32" s="83">
        <v>1.7230000000000001</v>
      </c>
      <c r="G32" s="18">
        <v>1068.56</v>
      </c>
      <c r="H32" s="18">
        <f>SUM($G$32:$G$32)</f>
        <v>1068.56</v>
      </c>
      <c r="I32" s="90">
        <f>VLOOKUP(B32,М[#All],6,0)</f>
        <v>0</v>
      </c>
      <c r="J32" s="18">
        <f>ROUND($H$32*$I$32,2)</f>
        <v>0</v>
      </c>
      <c r="K32" s="14"/>
      <c r="L32" s="14" t="s">
        <v>102</v>
      </c>
    </row>
    <row r="33" spans="1:12" ht="22.5" outlineLevel="4" x14ac:dyDescent="0.2">
      <c r="A33" s="15" t="s">
        <v>49</v>
      </c>
      <c r="B33" s="67" t="s">
        <v>119</v>
      </c>
      <c r="C33" s="14"/>
      <c r="D33" s="14" t="s">
        <v>50</v>
      </c>
      <c r="E33" s="15" t="s">
        <v>33</v>
      </c>
      <c r="F33" s="83">
        <v>1.05</v>
      </c>
      <c r="G33" s="18">
        <v>8089.74</v>
      </c>
      <c r="H33" s="18">
        <f>SUM($G$33:$G$33)</f>
        <v>8089.74</v>
      </c>
      <c r="I33" s="90">
        <f>VLOOKUP(B33,М[#All],6,0)</f>
        <v>0</v>
      </c>
      <c r="J33" s="18">
        <f>ROUND($H$33*$I$33,2)</f>
        <v>0</v>
      </c>
      <c r="K33" s="14"/>
      <c r="L33" s="14" t="s">
        <v>102</v>
      </c>
    </row>
    <row r="34" spans="1:12" ht="33.75" outlineLevel="4" x14ac:dyDescent="0.2">
      <c r="A34" s="15" t="s">
        <v>51</v>
      </c>
      <c r="B34" s="67" t="s">
        <v>120</v>
      </c>
      <c r="C34" s="14"/>
      <c r="D34" s="14" t="s">
        <v>52</v>
      </c>
      <c r="E34" s="15" t="s">
        <v>53</v>
      </c>
      <c r="F34" s="83">
        <v>2.1</v>
      </c>
      <c r="G34" s="20">
        <v>379</v>
      </c>
      <c r="H34" s="20">
        <f>SUM($G$34:$G$34)</f>
        <v>379</v>
      </c>
      <c r="I34" s="90">
        <f>VLOOKUP(B34,М[#All],6,0)</f>
        <v>0</v>
      </c>
      <c r="J34" s="18">
        <f>ROUND($H$34*$I$34,2)</f>
        <v>0</v>
      </c>
      <c r="K34" s="14" t="s">
        <v>54</v>
      </c>
      <c r="L34" s="14" t="s">
        <v>102</v>
      </c>
    </row>
    <row r="35" spans="1:12" ht="22.5" outlineLevel="4" x14ac:dyDescent="0.2">
      <c r="A35" s="15" t="s">
        <v>55</v>
      </c>
      <c r="B35" s="67" t="s">
        <v>121</v>
      </c>
      <c r="C35" s="14"/>
      <c r="D35" s="14" t="s">
        <v>56</v>
      </c>
      <c r="E35" s="15" t="s">
        <v>40</v>
      </c>
      <c r="F35" s="83">
        <v>0.4</v>
      </c>
      <c r="G35" s="16">
        <v>248.14</v>
      </c>
      <c r="H35" s="16">
        <f>SUM($G$35:$G$35)</f>
        <v>248.14</v>
      </c>
      <c r="I35" s="90">
        <f>VLOOKUP(B35,М[#All],6,0)</f>
        <v>0</v>
      </c>
      <c r="J35" s="18">
        <f>ROUND($H$35*$I$35,2)</f>
        <v>0</v>
      </c>
      <c r="K35" s="14"/>
      <c r="L35" s="14" t="s">
        <v>102</v>
      </c>
    </row>
    <row r="36" spans="1:12" ht="22.5" outlineLevel="4" x14ac:dyDescent="0.2">
      <c r="A36" s="15" t="s">
        <v>57</v>
      </c>
      <c r="B36" s="67" t="s">
        <v>122</v>
      </c>
      <c r="C36" s="14"/>
      <c r="D36" s="14" t="s">
        <v>58</v>
      </c>
      <c r="E36" s="15" t="s">
        <v>59</v>
      </c>
      <c r="F36" s="83">
        <v>1.05</v>
      </c>
      <c r="G36" s="20">
        <v>416</v>
      </c>
      <c r="H36" s="20">
        <f>SUM($G$36:$G$36)</f>
        <v>416</v>
      </c>
      <c r="I36" s="90">
        <f>VLOOKUP(B36,М[#All],6,0)</f>
        <v>0</v>
      </c>
      <c r="J36" s="18">
        <f>ROUND($H$36*$I$36,2)</f>
        <v>0</v>
      </c>
      <c r="K36" s="14"/>
      <c r="L36" s="14" t="s">
        <v>102</v>
      </c>
    </row>
    <row r="37" spans="1:12" outlineLevel="4" x14ac:dyDescent="0.2">
      <c r="A37" s="15" t="s">
        <v>60</v>
      </c>
      <c r="B37" s="67" t="s">
        <v>123</v>
      </c>
      <c r="C37" s="14"/>
      <c r="D37" s="14" t="s">
        <v>61</v>
      </c>
      <c r="E37" s="15" t="s">
        <v>62</v>
      </c>
      <c r="F37" s="83">
        <v>1</v>
      </c>
      <c r="G37" s="16">
        <v>620.35</v>
      </c>
      <c r="H37" s="16">
        <f>SUM($G$37:$G$37)</f>
        <v>620.35</v>
      </c>
      <c r="I37" s="90">
        <f>VLOOKUP(B37,М[#All],6,0)</f>
        <v>0</v>
      </c>
      <c r="J37" s="18">
        <f>ROUND($H$37*$I$37,2)</f>
        <v>0</v>
      </c>
      <c r="K37" s="14"/>
      <c r="L37" s="14" t="s">
        <v>102</v>
      </c>
    </row>
    <row r="38" spans="1:12" outlineLevel="4" x14ac:dyDescent="0.2">
      <c r="A38" s="66"/>
      <c r="B38" s="65" t="s">
        <v>21</v>
      </c>
      <c r="C38" s="13"/>
      <c r="D38" s="13"/>
      <c r="E38" s="13"/>
      <c r="F38" s="13"/>
      <c r="G38" s="13"/>
      <c r="H38" s="13"/>
      <c r="I38" s="43"/>
      <c r="J38" s="44">
        <f>SUM($J$39)</f>
        <v>0</v>
      </c>
      <c r="K38" s="11"/>
      <c r="L38" s="11"/>
    </row>
    <row r="39" spans="1:12" ht="78.75" outlineLevel="4" x14ac:dyDescent="0.2">
      <c r="A39" s="15"/>
      <c r="B39" s="67" t="s">
        <v>63</v>
      </c>
      <c r="C39" s="14"/>
      <c r="D39" s="14"/>
      <c r="E39" s="15" t="s">
        <v>33</v>
      </c>
      <c r="F39" s="15"/>
      <c r="G39" s="16">
        <v>487.94</v>
      </c>
      <c r="H39" s="16">
        <f>SUM($G$39:$G$39)</f>
        <v>487.94</v>
      </c>
      <c r="I39" s="18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18">
        <f>ROUND($H$39*$I$39,2)</f>
        <v>0</v>
      </c>
      <c r="K39" s="14" t="s">
        <v>64</v>
      </c>
      <c r="L39" s="14"/>
    </row>
    <row r="40" spans="1:12" outlineLevel="4" x14ac:dyDescent="0.2">
      <c r="A40" s="66"/>
      <c r="B40" s="65" t="s">
        <v>24</v>
      </c>
      <c r="C40" s="13"/>
      <c r="D40" s="13"/>
      <c r="E40" s="13"/>
      <c r="F40" s="13"/>
      <c r="G40" s="13"/>
      <c r="H40" s="13"/>
      <c r="I40" s="43"/>
      <c r="J40" s="44">
        <f>SUM($J$41:$J$47)</f>
        <v>0</v>
      </c>
      <c r="K40" s="11"/>
      <c r="L40" s="11"/>
    </row>
    <row r="41" spans="1:12" ht="22.5" outlineLevel="4" x14ac:dyDescent="0.2">
      <c r="A41" s="15" t="s">
        <v>25</v>
      </c>
      <c r="B41" s="67" t="s">
        <v>116</v>
      </c>
      <c r="C41" s="14"/>
      <c r="D41" s="14" t="s">
        <v>45</v>
      </c>
      <c r="E41" s="15" t="s">
        <v>46</v>
      </c>
      <c r="F41" s="83">
        <v>1.05</v>
      </c>
      <c r="G41" s="21">
        <v>404.1</v>
      </c>
      <c r="H41" s="21">
        <f>SUM($G$41:$G$41)</f>
        <v>404.1</v>
      </c>
      <c r="I41" s="90">
        <f>VLOOKUP(B41,М[#All],6,0)</f>
        <v>0</v>
      </c>
      <c r="J41" s="18">
        <f>ROUND($H$41*$I$41,2)</f>
        <v>0</v>
      </c>
      <c r="K41" s="14"/>
      <c r="L41" s="14" t="s">
        <v>102</v>
      </c>
    </row>
    <row r="42" spans="1:12" ht="22.5" outlineLevel="4" x14ac:dyDescent="0.2">
      <c r="A42" s="15" t="s">
        <v>29</v>
      </c>
      <c r="B42" s="67" t="s">
        <v>124</v>
      </c>
      <c r="C42" s="14"/>
      <c r="D42" s="14" t="s">
        <v>65</v>
      </c>
      <c r="E42" s="15" t="s">
        <v>23</v>
      </c>
      <c r="F42" s="83">
        <v>1.03</v>
      </c>
      <c r="G42" s="16">
        <v>25.14</v>
      </c>
      <c r="H42" s="16">
        <f>SUM($G$42:$G$42)</f>
        <v>25.14</v>
      </c>
      <c r="I42" s="90">
        <f>VLOOKUP(B42,М[#All],6,0)</f>
        <v>0</v>
      </c>
      <c r="J42" s="18">
        <f>ROUND($H$42*$I$42,2)</f>
        <v>0</v>
      </c>
      <c r="K42" s="14"/>
      <c r="L42" s="14" t="s">
        <v>102</v>
      </c>
    </row>
    <row r="43" spans="1:12" outlineLevel="4" x14ac:dyDescent="0.2">
      <c r="A43" s="15" t="s">
        <v>31</v>
      </c>
      <c r="B43" s="67" t="s">
        <v>117</v>
      </c>
      <c r="C43" s="14"/>
      <c r="D43" s="14" t="s">
        <v>47</v>
      </c>
      <c r="E43" s="15" t="s">
        <v>40</v>
      </c>
      <c r="F43" s="83">
        <v>460</v>
      </c>
      <c r="G43" s="18">
        <v>15793.82</v>
      </c>
      <c r="H43" s="18">
        <f>SUM($G$43:$G$43)</f>
        <v>15793.82</v>
      </c>
      <c r="I43" s="90">
        <f>VLOOKUP(B43,М[#All],6,0)</f>
        <v>0</v>
      </c>
      <c r="J43" s="18">
        <f>ROUND($H$43*$I$43,2)</f>
        <v>0</v>
      </c>
      <c r="K43" s="14"/>
      <c r="L43" s="14" t="s">
        <v>102</v>
      </c>
    </row>
    <row r="44" spans="1:12" ht="33.75" outlineLevel="4" x14ac:dyDescent="0.2">
      <c r="A44" s="15" t="s">
        <v>49</v>
      </c>
      <c r="B44" s="67" t="s">
        <v>118</v>
      </c>
      <c r="C44" s="14"/>
      <c r="D44" s="14" t="s">
        <v>48</v>
      </c>
      <c r="E44" s="15" t="s">
        <v>28</v>
      </c>
      <c r="F44" s="83">
        <v>1.7230000000000001</v>
      </c>
      <c r="G44" s="16">
        <v>59.15</v>
      </c>
      <c r="H44" s="16">
        <f>SUM($G$44:$G$44)</f>
        <v>59.15</v>
      </c>
      <c r="I44" s="90">
        <f>VLOOKUP(B44,М[#All],6,0)</f>
        <v>0</v>
      </c>
      <c r="J44" s="18">
        <f>ROUND($H$44*$I$44,2)</f>
        <v>0</v>
      </c>
      <c r="K44" s="14"/>
      <c r="L44" s="14" t="s">
        <v>102</v>
      </c>
    </row>
    <row r="45" spans="1:12" ht="22.5" outlineLevel="4" x14ac:dyDescent="0.2">
      <c r="A45" s="15" t="s">
        <v>51</v>
      </c>
      <c r="B45" s="67" t="s">
        <v>121</v>
      </c>
      <c r="C45" s="14"/>
      <c r="D45" s="14" t="s">
        <v>56</v>
      </c>
      <c r="E45" s="15" t="s">
        <v>40</v>
      </c>
      <c r="F45" s="83">
        <v>0.4</v>
      </c>
      <c r="G45" s="16">
        <v>13.74</v>
      </c>
      <c r="H45" s="16">
        <f>SUM($G$45:$G$45)</f>
        <v>13.74</v>
      </c>
      <c r="I45" s="90">
        <f>VLOOKUP(B45,М[#All],6,0)</f>
        <v>0</v>
      </c>
      <c r="J45" s="18">
        <f>ROUND($H$45*$I$45,2)</f>
        <v>0</v>
      </c>
      <c r="K45" s="14"/>
      <c r="L45" s="14" t="s">
        <v>102</v>
      </c>
    </row>
    <row r="46" spans="1:12" ht="22.5" outlineLevel="4" x14ac:dyDescent="0.2">
      <c r="A46" s="15" t="s">
        <v>55</v>
      </c>
      <c r="B46" s="67" t="s">
        <v>122</v>
      </c>
      <c r="C46" s="14"/>
      <c r="D46" s="14" t="s">
        <v>58</v>
      </c>
      <c r="E46" s="15" t="s">
        <v>59</v>
      </c>
      <c r="F46" s="83">
        <v>1.05</v>
      </c>
      <c r="G46" s="20">
        <v>19</v>
      </c>
      <c r="H46" s="20">
        <f>SUM($G$46:$G$46)</f>
        <v>19</v>
      </c>
      <c r="I46" s="90">
        <f>VLOOKUP(B46,М[#All],6,0)</f>
        <v>0</v>
      </c>
      <c r="J46" s="18">
        <f>ROUND($H$46*$I$46,2)</f>
        <v>0</v>
      </c>
      <c r="K46" s="14"/>
      <c r="L46" s="14" t="s">
        <v>102</v>
      </c>
    </row>
    <row r="47" spans="1:12" outlineLevel="4" x14ac:dyDescent="0.2">
      <c r="A47" s="15" t="s">
        <v>57</v>
      </c>
      <c r="B47" s="67" t="s">
        <v>123</v>
      </c>
      <c r="C47" s="14"/>
      <c r="D47" s="14" t="s">
        <v>61</v>
      </c>
      <c r="E47" s="15" t="s">
        <v>62</v>
      </c>
      <c r="F47" s="83">
        <v>1</v>
      </c>
      <c r="G47" s="16">
        <v>34.33</v>
      </c>
      <c r="H47" s="16">
        <f>SUM($G$47:$G$47)</f>
        <v>34.33</v>
      </c>
      <c r="I47" s="90">
        <f>VLOOKUP(B47,М[#All],6,0)</f>
        <v>0</v>
      </c>
      <c r="J47" s="18">
        <f>ROUND($H$47*$I$47,2)</f>
        <v>0</v>
      </c>
      <c r="K47" s="14"/>
      <c r="L47" s="14" t="s">
        <v>102</v>
      </c>
    </row>
    <row r="48" spans="1:12" outlineLevel="4" x14ac:dyDescent="0.2">
      <c r="A48" s="66"/>
      <c r="B48" s="65" t="s">
        <v>21</v>
      </c>
      <c r="C48" s="13"/>
      <c r="D48" s="13"/>
      <c r="E48" s="13"/>
      <c r="F48" s="13"/>
      <c r="G48" s="13"/>
      <c r="H48" s="13"/>
      <c r="I48" s="43"/>
      <c r="J48" s="44">
        <f>SUM($J$49)</f>
        <v>0</v>
      </c>
      <c r="K48" s="11"/>
      <c r="L48" s="11"/>
    </row>
    <row r="49" spans="1:12" ht="67.5" outlineLevel="4" x14ac:dyDescent="0.2">
      <c r="A49" s="15"/>
      <c r="B49" s="67" t="s">
        <v>66</v>
      </c>
      <c r="C49" s="14"/>
      <c r="D49" s="14"/>
      <c r="E49" s="15" t="s">
        <v>33</v>
      </c>
      <c r="F49" s="15"/>
      <c r="G49" s="16">
        <v>32.75</v>
      </c>
      <c r="H49" s="16">
        <f>SUM($G$49:$G$49)</f>
        <v>32.75</v>
      </c>
      <c r="I49" s="18">
        <f t="array" ref="I49">INDEX(Р[Цена за ед., руб],MATCH(1,IF(($B49=Р[Наименование])*($K49=Р[Примечание]),{1},($B49=Р[Наименование])*($K49=Р[Примечание])),0))</f>
        <v>0</v>
      </c>
      <c r="J49" s="18">
        <f>ROUND($H$49*$I$49,2)</f>
        <v>0</v>
      </c>
      <c r="K49" s="14" t="s">
        <v>67</v>
      </c>
      <c r="L49" s="14"/>
    </row>
    <row r="50" spans="1:12" outlineLevel="4" x14ac:dyDescent="0.2">
      <c r="A50" s="66"/>
      <c r="B50" s="65" t="s">
        <v>24</v>
      </c>
      <c r="C50" s="13"/>
      <c r="D50" s="13"/>
      <c r="E50" s="13"/>
      <c r="F50" s="13"/>
      <c r="G50" s="13"/>
      <c r="H50" s="13"/>
      <c r="I50" s="43"/>
      <c r="J50" s="44">
        <f>SUM($J$51:$J$57)</f>
        <v>0</v>
      </c>
      <c r="K50" s="11"/>
      <c r="L50" s="11"/>
    </row>
    <row r="51" spans="1:12" ht="22.5" outlineLevel="4" x14ac:dyDescent="0.2">
      <c r="A51" s="15" t="s">
        <v>25</v>
      </c>
      <c r="B51" s="67" t="s">
        <v>124</v>
      </c>
      <c r="C51" s="14"/>
      <c r="D51" s="14" t="s">
        <v>65</v>
      </c>
      <c r="E51" s="15" t="s">
        <v>23</v>
      </c>
      <c r="F51" s="83">
        <v>1.03</v>
      </c>
      <c r="G51" s="16">
        <v>1.69</v>
      </c>
      <c r="H51" s="16">
        <f>SUM($G$51:$G$51)</f>
        <v>1.69</v>
      </c>
      <c r="I51" s="90">
        <f>VLOOKUP(B51,М[#All],6,0)</f>
        <v>0</v>
      </c>
      <c r="J51" s="18">
        <f>ROUND($H$51*$I$51,2)</f>
        <v>0</v>
      </c>
      <c r="K51" s="14"/>
      <c r="L51" s="14" t="s">
        <v>102</v>
      </c>
    </row>
    <row r="52" spans="1:12" outlineLevel="4" x14ac:dyDescent="0.2">
      <c r="A52" s="15" t="s">
        <v>29</v>
      </c>
      <c r="B52" s="67" t="s">
        <v>113</v>
      </c>
      <c r="C52" s="14"/>
      <c r="D52" s="14" t="s">
        <v>36</v>
      </c>
      <c r="E52" s="15" t="s">
        <v>37</v>
      </c>
      <c r="F52" s="84">
        <v>1.05</v>
      </c>
      <c r="G52" s="16">
        <f>(1.05+0.979)*G49</f>
        <v>66.449749999999995</v>
      </c>
      <c r="H52" s="16">
        <f>SUM($G$52:$G$52)</f>
        <v>66.449749999999995</v>
      </c>
      <c r="I52" s="90">
        <f>VLOOKUP(B52,М[#All],6,0)</f>
        <v>0</v>
      </c>
      <c r="J52" s="18">
        <f>ROUND($H$52*$I$52,2)</f>
        <v>0</v>
      </c>
      <c r="K52" s="14"/>
      <c r="L52" s="14" t="s">
        <v>102</v>
      </c>
    </row>
    <row r="53" spans="1:12" ht="33.75" outlineLevel="4" x14ac:dyDescent="0.2">
      <c r="A53" s="15" t="s">
        <v>31</v>
      </c>
      <c r="B53" s="67" t="s">
        <v>114</v>
      </c>
      <c r="C53" s="14" t="s">
        <v>38</v>
      </c>
      <c r="D53" s="14" t="s">
        <v>39</v>
      </c>
      <c r="E53" s="15" t="s">
        <v>40</v>
      </c>
      <c r="F53" s="83">
        <v>4</v>
      </c>
      <c r="G53" s="16">
        <v>205.28</v>
      </c>
      <c r="H53" s="16">
        <f>SUM($G$53:$G$53)</f>
        <v>205.28</v>
      </c>
      <c r="I53" s="90">
        <f>VLOOKUP(B53,М[#All],6,0)</f>
        <v>0</v>
      </c>
      <c r="J53" s="18">
        <f>ROUND($H$53*$I$53,2)</f>
        <v>0</v>
      </c>
      <c r="K53" s="14" t="s">
        <v>38</v>
      </c>
      <c r="L53" s="14" t="s">
        <v>102</v>
      </c>
    </row>
    <row r="54" spans="1:12" outlineLevel="4" x14ac:dyDescent="0.2">
      <c r="A54" s="15" t="s">
        <v>49</v>
      </c>
      <c r="B54" s="67" t="s">
        <v>117</v>
      </c>
      <c r="C54" s="14"/>
      <c r="D54" s="14" t="s">
        <v>47</v>
      </c>
      <c r="E54" s="15" t="s">
        <v>40</v>
      </c>
      <c r="F54" s="83">
        <v>460</v>
      </c>
      <c r="G54" s="18">
        <v>1067.96</v>
      </c>
      <c r="H54" s="18">
        <f>SUM($G$54:$G$54)</f>
        <v>1067.96</v>
      </c>
      <c r="I54" s="90">
        <f>VLOOKUP(B54,М[#All],6,0)</f>
        <v>0</v>
      </c>
      <c r="J54" s="18">
        <f>ROUND($H$54*$I$54,2)</f>
        <v>0</v>
      </c>
      <c r="K54" s="14"/>
      <c r="L54" s="14" t="s">
        <v>102</v>
      </c>
    </row>
    <row r="55" spans="1:12" ht="33.75" outlineLevel="4" x14ac:dyDescent="0.2">
      <c r="A55" s="15" t="s">
        <v>51</v>
      </c>
      <c r="B55" s="67" t="s">
        <v>118</v>
      </c>
      <c r="C55" s="14"/>
      <c r="D55" s="14" t="s">
        <v>48</v>
      </c>
      <c r="E55" s="15" t="s">
        <v>28</v>
      </c>
      <c r="F55" s="83">
        <v>1.7230000000000001</v>
      </c>
      <c r="G55" s="16">
        <v>4.01</v>
      </c>
      <c r="H55" s="16">
        <f>SUM($G$55:$G$55)</f>
        <v>4.01</v>
      </c>
      <c r="I55" s="90">
        <f>VLOOKUP(B55,М[#All],6,0)</f>
        <v>0</v>
      </c>
      <c r="J55" s="18">
        <f>ROUND($H$55*$I$55,2)</f>
        <v>0</v>
      </c>
      <c r="K55" s="14"/>
      <c r="L55" s="14" t="s">
        <v>102</v>
      </c>
    </row>
    <row r="56" spans="1:12" ht="22.5" outlineLevel="4" x14ac:dyDescent="0.2">
      <c r="A56" s="15" t="s">
        <v>55</v>
      </c>
      <c r="B56" s="67" t="s">
        <v>121</v>
      </c>
      <c r="C56" s="14"/>
      <c r="D56" s="14" t="s">
        <v>56</v>
      </c>
      <c r="E56" s="15" t="s">
        <v>40</v>
      </c>
      <c r="F56" s="83">
        <v>0.4</v>
      </c>
      <c r="G56" s="16">
        <v>0.93</v>
      </c>
      <c r="H56" s="16">
        <f>SUM($G$56:$G$56)</f>
        <v>0.93</v>
      </c>
      <c r="I56" s="90">
        <f>VLOOKUP(B56,М[#All],6,0)</f>
        <v>0</v>
      </c>
      <c r="J56" s="18">
        <f>ROUND($H$56*$I$56,2)</f>
        <v>0</v>
      </c>
      <c r="K56" s="14"/>
      <c r="L56" s="14" t="s">
        <v>102</v>
      </c>
    </row>
    <row r="57" spans="1:12" outlineLevel="4" x14ac:dyDescent="0.2">
      <c r="A57" s="15" t="s">
        <v>57</v>
      </c>
      <c r="B57" s="67" t="s">
        <v>123</v>
      </c>
      <c r="C57" s="14"/>
      <c r="D57" s="14" t="s">
        <v>61</v>
      </c>
      <c r="E57" s="15" t="s">
        <v>62</v>
      </c>
      <c r="F57" s="83">
        <v>1</v>
      </c>
      <c r="G57" s="16">
        <v>2.3199999999999998</v>
      </c>
      <c r="H57" s="16">
        <f>SUM($G$57:$G$57)</f>
        <v>2.3199999999999998</v>
      </c>
      <c r="I57" s="90">
        <f>VLOOKUP(B57,М[#All],6,0)</f>
        <v>0</v>
      </c>
      <c r="J57" s="18">
        <f>ROUND($H$57*$I$57,2)</f>
        <v>0</v>
      </c>
      <c r="K57" s="14"/>
      <c r="L57" s="14" t="s">
        <v>102</v>
      </c>
    </row>
    <row r="58" spans="1:12" outlineLevel="4" x14ac:dyDescent="0.2">
      <c r="A58" s="66"/>
      <c r="B58" s="65" t="s">
        <v>21</v>
      </c>
      <c r="C58" s="13"/>
      <c r="D58" s="13"/>
      <c r="E58" s="13"/>
      <c r="F58" s="13"/>
      <c r="G58" s="13"/>
      <c r="H58" s="13"/>
      <c r="I58" s="43"/>
      <c r="J58" s="44">
        <f>SUM($J$59)</f>
        <v>0</v>
      </c>
      <c r="K58" s="11"/>
      <c r="L58" s="11"/>
    </row>
    <row r="59" spans="1:12" ht="56.25" outlineLevel="4" x14ac:dyDescent="0.2">
      <c r="A59" s="15"/>
      <c r="B59" s="67" t="s">
        <v>68</v>
      </c>
      <c r="C59" s="14"/>
      <c r="D59" s="14"/>
      <c r="E59" s="15" t="s">
        <v>33</v>
      </c>
      <c r="F59" s="15"/>
      <c r="G59" s="18">
        <v>1525.06</v>
      </c>
      <c r="H59" s="18">
        <f>SUM($G$59:$G$59)</f>
        <v>1525.06</v>
      </c>
      <c r="I59" s="18">
        <f t="array" ref="I59">INDEX(Р[Цена за ед., руб],MATCH(1,IF(($B59=Р[Наименование])*($K59=Р[Примечание]),{1},($B59=Р[Наименование])*($K59=Р[Примечание])),0))</f>
        <v>0</v>
      </c>
      <c r="J59" s="18">
        <f>ROUND($H$59*$I$59,2)</f>
        <v>0</v>
      </c>
      <c r="K59" s="14" t="s">
        <v>69</v>
      </c>
      <c r="L59" s="14"/>
    </row>
    <row r="60" spans="1:12" outlineLevel="4" x14ac:dyDescent="0.2">
      <c r="A60" s="66"/>
      <c r="B60" s="65" t="s">
        <v>24</v>
      </c>
      <c r="C60" s="13"/>
      <c r="D60" s="13"/>
      <c r="E60" s="13"/>
      <c r="F60" s="13"/>
      <c r="G60" s="13"/>
      <c r="H60" s="13"/>
      <c r="I60" s="43"/>
      <c r="J60" s="44">
        <f>SUM($J$61:$J$67)</f>
        <v>0</v>
      </c>
      <c r="K60" s="11"/>
      <c r="L60" s="11"/>
    </row>
    <row r="61" spans="1:12" ht="22.5" outlineLevel="4" x14ac:dyDescent="0.2">
      <c r="A61" s="15" t="s">
        <v>25</v>
      </c>
      <c r="B61" s="67" t="s">
        <v>116</v>
      </c>
      <c r="C61" s="14"/>
      <c r="D61" s="14" t="s">
        <v>45</v>
      </c>
      <c r="E61" s="15" t="s">
        <v>46</v>
      </c>
      <c r="F61" s="83">
        <v>1.05</v>
      </c>
      <c r="G61" s="18">
        <v>1704.37</v>
      </c>
      <c r="H61" s="18">
        <f>SUM($G$61:$G$61)</f>
        <v>1704.37</v>
      </c>
      <c r="I61" s="90">
        <f>VLOOKUP(B61,М[#All],6,0)</f>
        <v>0</v>
      </c>
      <c r="J61" s="18">
        <f>ROUND($H$61*$I$61,2)</f>
        <v>0</v>
      </c>
      <c r="K61" s="14"/>
      <c r="L61" s="14" t="s">
        <v>102</v>
      </c>
    </row>
    <row r="62" spans="1:12" ht="33.75" outlineLevel="4" x14ac:dyDescent="0.2">
      <c r="A62" s="15" t="s">
        <v>29</v>
      </c>
      <c r="B62" s="67" t="s">
        <v>125</v>
      </c>
      <c r="C62" s="14"/>
      <c r="D62" s="14" t="s">
        <v>70</v>
      </c>
      <c r="E62" s="15" t="s">
        <v>40</v>
      </c>
      <c r="F62" s="83">
        <v>0.15</v>
      </c>
      <c r="G62" s="16">
        <v>378.54</v>
      </c>
      <c r="H62" s="16">
        <f>SUM($G$62:$G$62)</f>
        <v>378.54</v>
      </c>
      <c r="I62" s="90">
        <f>VLOOKUP(B62,М[#All],6,0)</f>
        <v>0</v>
      </c>
      <c r="J62" s="18">
        <f>ROUND($H$62*$I$62,2)</f>
        <v>0</v>
      </c>
      <c r="K62" s="14"/>
      <c r="L62" s="14" t="s">
        <v>102</v>
      </c>
    </row>
    <row r="63" spans="1:12" outlineLevel="4" x14ac:dyDescent="0.2">
      <c r="A63" s="15" t="s">
        <v>31</v>
      </c>
      <c r="B63" s="67" t="s">
        <v>117</v>
      </c>
      <c r="C63" s="14"/>
      <c r="D63" s="14" t="s">
        <v>47</v>
      </c>
      <c r="E63" s="15" t="s">
        <v>40</v>
      </c>
      <c r="F63" s="83">
        <v>460</v>
      </c>
      <c r="G63" s="18">
        <v>54818.89</v>
      </c>
      <c r="H63" s="18">
        <f>SUM($G$63:$G$63)</f>
        <v>54818.89</v>
      </c>
      <c r="I63" s="90">
        <f>VLOOKUP(B63,М[#All],6,0)</f>
        <v>0</v>
      </c>
      <c r="J63" s="18">
        <f>ROUND($H$63*$I$63,2)</f>
        <v>0</v>
      </c>
      <c r="K63" s="14"/>
      <c r="L63" s="14" t="s">
        <v>102</v>
      </c>
    </row>
    <row r="64" spans="1:12" ht="33.75" outlineLevel="4" x14ac:dyDescent="0.2">
      <c r="A64" s="15" t="s">
        <v>49</v>
      </c>
      <c r="B64" s="67" t="s">
        <v>118</v>
      </c>
      <c r="C64" s="14"/>
      <c r="D64" s="14" t="s">
        <v>48</v>
      </c>
      <c r="E64" s="15" t="s">
        <v>28</v>
      </c>
      <c r="F64" s="83">
        <v>1.7230000000000001</v>
      </c>
      <c r="G64" s="16">
        <v>205.45</v>
      </c>
      <c r="H64" s="16">
        <f>SUM($G$64:$G$64)</f>
        <v>205.45</v>
      </c>
      <c r="I64" s="90">
        <f>VLOOKUP(B64,М[#All],6,0)</f>
        <v>0</v>
      </c>
      <c r="J64" s="18">
        <f>ROUND($H$64*$I$64,2)</f>
        <v>0</v>
      </c>
      <c r="K64" s="14"/>
      <c r="L64" s="14" t="s">
        <v>102</v>
      </c>
    </row>
    <row r="65" spans="1:12" ht="22.5" outlineLevel="4" x14ac:dyDescent="0.2">
      <c r="A65" s="15" t="s">
        <v>51</v>
      </c>
      <c r="B65" s="67" t="s">
        <v>121</v>
      </c>
      <c r="C65" s="14"/>
      <c r="D65" s="14" t="s">
        <v>56</v>
      </c>
      <c r="E65" s="15" t="s">
        <v>40</v>
      </c>
      <c r="F65" s="83">
        <v>0.4</v>
      </c>
      <c r="G65" s="16">
        <v>47.66</v>
      </c>
      <c r="H65" s="16">
        <f>SUM($G$65:$G$65)</f>
        <v>47.66</v>
      </c>
      <c r="I65" s="90">
        <f>VLOOKUP(B65,М[#All],6,0)</f>
        <v>0</v>
      </c>
      <c r="J65" s="18">
        <f>ROUND($H$65*$I$65,2)</f>
        <v>0</v>
      </c>
      <c r="K65" s="14"/>
      <c r="L65" s="14" t="s">
        <v>102</v>
      </c>
    </row>
    <row r="66" spans="1:12" ht="22.5" outlineLevel="4" x14ac:dyDescent="0.2">
      <c r="A66" s="15" t="s">
        <v>55</v>
      </c>
      <c r="B66" s="67" t="s">
        <v>122</v>
      </c>
      <c r="C66" s="14"/>
      <c r="D66" s="14" t="s">
        <v>58</v>
      </c>
      <c r="E66" s="15" t="s">
        <v>59</v>
      </c>
      <c r="F66" s="83">
        <v>1.05</v>
      </c>
      <c r="G66" s="20">
        <v>103</v>
      </c>
      <c r="H66" s="20">
        <f>SUM($G$66:$G$66)</f>
        <v>103</v>
      </c>
      <c r="I66" s="90">
        <f>VLOOKUP(B66,М[#All],6,0)</f>
        <v>0</v>
      </c>
      <c r="J66" s="18">
        <f>ROUND($H$66*$I$66,2)</f>
        <v>0</v>
      </c>
      <c r="K66" s="14"/>
      <c r="L66" s="14" t="s">
        <v>102</v>
      </c>
    </row>
    <row r="67" spans="1:12" outlineLevel="4" x14ac:dyDescent="0.2">
      <c r="A67" s="15" t="s">
        <v>57</v>
      </c>
      <c r="B67" s="67" t="s">
        <v>123</v>
      </c>
      <c r="C67" s="14"/>
      <c r="D67" s="14" t="s">
        <v>61</v>
      </c>
      <c r="E67" s="15" t="s">
        <v>62</v>
      </c>
      <c r="F67" s="83">
        <v>1</v>
      </c>
      <c r="G67" s="16">
        <v>119.25</v>
      </c>
      <c r="H67" s="16">
        <f>SUM($G$67:$G$67)</f>
        <v>119.25</v>
      </c>
      <c r="I67" s="90">
        <f>VLOOKUP(B67,М[#All],6,0)</f>
        <v>0</v>
      </c>
      <c r="J67" s="18">
        <f>ROUND($H$67*$I$67,2)</f>
        <v>0</v>
      </c>
      <c r="K67" s="14"/>
      <c r="L67" s="14" t="s">
        <v>102</v>
      </c>
    </row>
    <row r="68" spans="1:12" outlineLevel="2" x14ac:dyDescent="0.2">
      <c r="A68" s="10" t="s">
        <v>71</v>
      </c>
      <c r="B68" s="65" t="s">
        <v>72</v>
      </c>
      <c r="C68" s="9"/>
      <c r="D68" s="9"/>
      <c r="E68" s="10"/>
      <c r="F68" s="10"/>
      <c r="G68" s="11"/>
      <c r="H68" s="11"/>
      <c r="I68" s="42"/>
      <c r="J68" s="42">
        <f>SUM($J$69)</f>
        <v>0</v>
      </c>
      <c r="K68" s="12"/>
      <c r="L68" s="12"/>
    </row>
    <row r="69" spans="1:12" outlineLevel="3" x14ac:dyDescent="0.2">
      <c r="A69" s="10" t="s">
        <v>73</v>
      </c>
      <c r="B69" s="65" t="s">
        <v>72</v>
      </c>
      <c r="C69" s="9"/>
      <c r="D69" s="9"/>
      <c r="E69" s="10"/>
      <c r="F69" s="10"/>
      <c r="G69" s="11"/>
      <c r="H69" s="11"/>
      <c r="I69" s="42"/>
      <c r="J69" s="42">
        <f>SUM($J$78,$J$76,$J$72,$J$70)</f>
        <v>0</v>
      </c>
      <c r="K69" s="12"/>
      <c r="L69" s="12"/>
    </row>
    <row r="70" spans="1:12" outlineLevel="4" x14ac:dyDescent="0.2">
      <c r="A70" s="66"/>
      <c r="B70" s="65" t="s">
        <v>21</v>
      </c>
      <c r="C70" s="13"/>
      <c r="D70" s="13"/>
      <c r="E70" s="13"/>
      <c r="F70" s="13"/>
      <c r="G70" s="13"/>
      <c r="H70" s="13"/>
      <c r="I70" s="43"/>
      <c r="J70" s="44">
        <f>SUM($J$71)</f>
        <v>0</v>
      </c>
      <c r="K70" s="11"/>
      <c r="L70" s="11"/>
    </row>
    <row r="71" spans="1:12" ht="22.5" outlineLevel="4" x14ac:dyDescent="0.2">
      <c r="A71" s="15"/>
      <c r="B71" s="67" t="s">
        <v>74</v>
      </c>
      <c r="C71" s="14"/>
      <c r="D71" s="14"/>
      <c r="E71" s="15" t="s">
        <v>33</v>
      </c>
      <c r="F71" s="15"/>
      <c r="G71" s="16">
        <v>325.19</v>
      </c>
      <c r="H71" s="16">
        <f>SUM($G$71:$G$71)</f>
        <v>325.19</v>
      </c>
      <c r="I71" s="18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18">
        <f>ROUND($H$71*$I$71,2)</f>
        <v>0</v>
      </c>
      <c r="K71" s="14" t="s">
        <v>75</v>
      </c>
      <c r="L71" s="14"/>
    </row>
    <row r="72" spans="1:12" outlineLevel="4" x14ac:dyDescent="0.2">
      <c r="A72" s="66"/>
      <c r="B72" s="65" t="s">
        <v>24</v>
      </c>
      <c r="C72" s="13"/>
      <c r="D72" s="13"/>
      <c r="E72" s="13"/>
      <c r="F72" s="13"/>
      <c r="G72" s="13"/>
      <c r="H72" s="13"/>
      <c r="I72" s="43"/>
      <c r="J72" s="44">
        <f>SUM($J$73:$J$75)</f>
        <v>0</v>
      </c>
      <c r="K72" s="11"/>
      <c r="L72" s="11"/>
    </row>
    <row r="73" spans="1:12" outlineLevel="4" x14ac:dyDescent="0.2">
      <c r="A73" s="15" t="s">
        <v>25</v>
      </c>
      <c r="B73" s="67" t="s">
        <v>126</v>
      </c>
      <c r="C73" s="14"/>
      <c r="D73" s="14" t="s">
        <v>76</v>
      </c>
      <c r="E73" s="15" t="s">
        <v>33</v>
      </c>
      <c r="F73" s="83">
        <v>1.1000000000000001</v>
      </c>
      <c r="G73" s="16">
        <v>357.71</v>
      </c>
      <c r="H73" s="16">
        <f>SUM($G$73:$G$73)</f>
        <v>357.71</v>
      </c>
      <c r="I73" s="90">
        <f>VLOOKUP(B73,М[#All],6,0)</f>
        <v>0</v>
      </c>
      <c r="J73" s="18">
        <f>ROUND($H$73*$I$73,2)</f>
        <v>0</v>
      </c>
      <c r="K73" s="14" t="s">
        <v>77</v>
      </c>
      <c r="L73" s="14" t="s">
        <v>102</v>
      </c>
    </row>
    <row r="74" spans="1:12" outlineLevel="4" x14ac:dyDescent="0.2">
      <c r="A74" s="15" t="s">
        <v>29</v>
      </c>
      <c r="B74" s="67" t="s">
        <v>127</v>
      </c>
      <c r="C74" s="14"/>
      <c r="D74" s="14" t="s">
        <v>78</v>
      </c>
      <c r="E74" s="15" t="s">
        <v>62</v>
      </c>
      <c r="F74" s="84">
        <v>0.3</v>
      </c>
      <c r="G74" s="16">
        <f>G71*F74</f>
        <v>97.557000000000002</v>
      </c>
      <c r="H74" s="16">
        <f>SUM($G$74:$G$74)</f>
        <v>97.557000000000002</v>
      </c>
      <c r="I74" s="90">
        <f>VLOOKUP(B74,М[#All],6,0)</f>
        <v>0</v>
      </c>
      <c r="J74" s="18">
        <f>ROUND($H$74*$I$74,2)</f>
        <v>0</v>
      </c>
      <c r="K74" s="14" t="s">
        <v>79</v>
      </c>
      <c r="L74" s="14" t="s">
        <v>102</v>
      </c>
    </row>
    <row r="75" spans="1:12" outlineLevel="4" x14ac:dyDescent="0.2">
      <c r="A75" s="15" t="s">
        <v>31</v>
      </c>
      <c r="B75" s="67" t="s">
        <v>120</v>
      </c>
      <c r="C75" s="14"/>
      <c r="D75" s="14" t="s">
        <v>52</v>
      </c>
      <c r="E75" s="15" t="s">
        <v>53</v>
      </c>
      <c r="F75" s="83">
        <v>2.1749999999999998</v>
      </c>
      <c r="G75" s="20">
        <v>395</v>
      </c>
      <c r="H75" s="20">
        <f>SUM($G$75:$G$75)</f>
        <v>395</v>
      </c>
      <c r="I75" s="90">
        <f>VLOOKUP(B75,М[#All],6,0)</f>
        <v>0</v>
      </c>
      <c r="J75" s="18">
        <f>ROUND($H$75*$I$75,2)</f>
        <v>0</v>
      </c>
      <c r="K75" s="14" t="s">
        <v>80</v>
      </c>
      <c r="L75" s="14" t="s">
        <v>102</v>
      </c>
    </row>
    <row r="76" spans="1:12" outlineLevel="4" x14ac:dyDescent="0.2">
      <c r="A76" s="66"/>
      <c r="B76" s="65" t="s">
        <v>21</v>
      </c>
      <c r="C76" s="13"/>
      <c r="D76" s="13"/>
      <c r="E76" s="13"/>
      <c r="F76" s="13"/>
      <c r="G76" s="13"/>
      <c r="H76" s="13"/>
      <c r="I76" s="43"/>
      <c r="J76" s="44">
        <f>SUM($J$77)</f>
        <v>0</v>
      </c>
      <c r="K76" s="11"/>
      <c r="L76" s="11"/>
    </row>
    <row r="77" spans="1:12" ht="22.5" outlineLevel="4" x14ac:dyDescent="0.2">
      <c r="A77" s="15"/>
      <c r="B77" s="67" t="s">
        <v>81</v>
      </c>
      <c r="C77" s="14"/>
      <c r="D77" s="14"/>
      <c r="E77" s="15" t="s">
        <v>33</v>
      </c>
      <c r="F77" s="15"/>
      <c r="G77" s="16">
        <v>227.42</v>
      </c>
      <c r="H77" s="16">
        <f>SUM($G$77:$G$77)</f>
        <v>227.42</v>
      </c>
      <c r="I77" s="18">
        <f t="array" ref="I77">INDEX(Р[Цена за ед., руб],MATCH(1,IF(($B77=Р[Наименование])*($K77=Р[Примечание]),{1},($B77=Р[Наименование])*($K77=Р[Примечание])),0))</f>
        <v>0</v>
      </c>
      <c r="J77" s="18">
        <f>ROUND($H$77*$I$77,2)</f>
        <v>0</v>
      </c>
      <c r="K77" s="14"/>
      <c r="L77" s="14"/>
    </row>
    <row r="78" spans="1:12" outlineLevel="4" x14ac:dyDescent="0.2">
      <c r="A78" s="66"/>
      <c r="B78" s="65" t="s">
        <v>24</v>
      </c>
      <c r="C78" s="13"/>
      <c r="D78" s="13"/>
      <c r="E78" s="13"/>
      <c r="F78" s="13"/>
      <c r="G78" s="13"/>
      <c r="H78" s="13"/>
      <c r="I78" s="43"/>
      <c r="J78" s="44">
        <f>SUM($J$79:$J$83)</f>
        <v>0</v>
      </c>
      <c r="K78" s="11"/>
      <c r="L78" s="11"/>
    </row>
    <row r="79" spans="1:12" ht="33.75" outlineLevel="4" x14ac:dyDescent="0.2">
      <c r="A79" s="15" t="s">
        <v>25</v>
      </c>
      <c r="B79" s="67" t="s">
        <v>112</v>
      </c>
      <c r="C79" s="14"/>
      <c r="D79" s="14" t="s">
        <v>32</v>
      </c>
      <c r="E79" s="15" t="s">
        <v>33</v>
      </c>
      <c r="F79" s="83">
        <v>1.1000000000000001</v>
      </c>
      <c r="G79" s="16">
        <v>250.16</v>
      </c>
      <c r="H79" s="16">
        <f>SUM($G$79:$G$79)</f>
        <v>250.16</v>
      </c>
      <c r="I79" s="90">
        <f>VLOOKUP(B79,М[#All],6,0)</f>
        <v>0</v>
      </c>
      <c r="J79" s="18">
        <f>ROUND($H$79*$I$79,2)</f>
        <v>0</v>
      </c>
      <c r="K79" s="14"/>
      <c r="L79" s="14" t="s">
        <v>102</v>
      </c>
    </row>
    <row r="80" spans="1:12" ht="22.5" outlineLevel="4" x14ac:dyDescent="0.2">
      <c r="A80" s="15" t="s">
        <v>29</v>
      </c>
      <c r="B80" s="67" t="s">
        <v>128</v>
      </c>
      <c r="C80" s="14"/>
      <c r="D80" s="14" t="s">
        <v>82</v>
      </c>
      <c r="E80" s="15" t="s">
        <v>40</v>
      </c>
      <c r="F80" s="83">
        <v>0.35</v>
      </c>
      <c r="G80" s="21">
        <v>79.599999999999994</v>
      </c>
      <c r="H80" s="21">
        <f>SUM($G$80:$G$80)</f>
        <v>79.599999999999994</v>
      </c>
      <c r="I80" s="90">
        <f>VLOOKUP(B80,М[#All],6,0)</f>
        <v>0</v>
      </c>
      <c r="J80" s="18">
        <f>ROUND($H$80*$I$80,2)</f>
        <v>0</v>
      </c>
      <c r="K80" s="14"/>
      <c r="L80" s="14" t="s">
        <v>102</v>
      </c>
    </row>
    <row r="81" spans="1:12" outlineLevel="4" x14ac:dyDescent="0.2">
      <c r="A81" s="15" t="s">
        <v>31</v>
      </c>
      <c r="B81" s="67" t="s">
        <v>117</v>
      </c>
      <c r="C81" s="14"/>
      <c r="D81" s="14" t="s">
        <v>47</v>
      </c>
      <c r="E81" s="15" t="s">
        <v>40</v>
      </c>
      <c r="F81" s="83">
        <v>460</v>
      </c>
      <c r="G81" s="22">
        <v>4186</v>
      </c>
      <c r="H81" s="22">
        <f>SUM($G$81:$G$81)</f>
        <v>4186</v>
      </c>
      <c r="I81" s="90">
        <f>VLOOKUP(B81,М[#All],6,0)</f>
        <v>0</v>
      </c>
      <c r="J81" s="18">
        <f>ROUND($H$81*$I$81,2)</f>
        <v>0</v>
      </c>
      <c r="K81" s="14"/>
      <c r="L81" s="14" t="s">
        <v>102</v>
      </c>
    </row>
    <row r="82" spans="1:12" ht="33.75" outlineLevel="4" x14ac:dyDescent="0.2">
      <c r="A82" s="15" t="s">
        <v>49</v>
      </c>
      <c r="B82" s="67" t="s">
        <v>118</v>
      </c>
      <c r="C82" s="14"/>
      <c r="D82" s="14" t="s">
        <v>48</v>
      </c>
      <c r="E82" s="15" t="s">
        <v>28</v>
      </c>
      <c r="F82" s="83">
        <v>1.7230000000000001</v>
      </c>
      <c r="G82" s="16">
        <v>15.68</v>
      </c>
      <c r="H82" s="16">
        <f>SUM($G$82:$G$82)</f>
        <v>15.68</v>
      </c>
      <c r="I82" s="90">
        <f>VLOOKUP(B82,М[#All],6,0)</f>
        <v>0</v>
      </c>
      <c r="J82" s="18">
        <f>ROUND($H$82*$I$82,2)</f>
        <v>0</v>
      </c>
      <c r="K82" s="14"/>
      <c r="L82" s="14" t="s">
        <v>102</v>
      </c>
    </row>
    <row r="83" spans="1:12" outlineLevel="4" x14ac:dyDescent="0.2">
      <c r="A83" s="15" t="s">
        <v>51</v>
      </c>
      <c r="B83" s="67" t="s">
        <v>123</v>
      </c>
      <c r="C83" s="14"/>
      <c r="D83" s="14" t="s">
        <v>61</v>
      </c>
      <c r="E83" s="15" t="s">
        <v>62</v>
      </c>
      <c r="F83" s="83">
        <v>1</v>
      </c>
      <c r="G83" s="21">
        <v>9.1</v>
      </c>
      <c r="H83" s="21">
        <f>SUM($G$83:$G$83)</f>
        <v>9.1</v>
      </c>
      <c r="I83" s="90">
        <f>VLOOKUP(B83,М[#All],6,0)</f>
        <v>0</v>
      </c>
      <c r="J83" s="18">
        <f>ROUND($H$83*$I$83,2)</f>
        <v>0</v>
      </c>
      <c r="K83" s="14"/>
      <c r="L83" s="14" t="s">
        <v>102</v>
      </c>
    </row>
    <row r="84" spans="1:12" outlineLevel="2" x14ac:dyDescent="0.2">
      <c r="A84" s="10" t="s">
        <v>83</v>
      </c>
      <c r="B84" s="65" t="s">
        <v>84</v>
      </c>
      <c r="C84" s="9"/>
      <c r="D84" s="9"/>
      <c r="E84" s="10"/>
      <c r="F84" s="10"/>
      <c r="G84" s="11"/>
      <c r="H84" s="11"/>
      <c r="I84" s="42"/>
      <c r="J84" s="42">
        <f>SUM($J$85)</f>
        <v>0</v>
      </c>
      <c r="K84" s="12"/>
      <c r="L84" s="12"/>
    </row>
    <row r="85" spans="1:12" outlineLevel="3" x14ac:dyDescent="0.2">
      <c r="A85" s="10" t="s">
        <v>85</v>
      </c>
      <c r="B85" s="65" t="s">
        <v>84</v>
      </c>
      <c r="C85" s="9"/>
      <c r="D85" s="9"/>
      <c r="E85" s="10"/>
      <c r="F85" s="10"/>
      <c r="G85" s="11"/>
      <c r="H85" s="11"/>
      <c r="I85" s="42"/>
      <c r="J85" s="42">
        <f>SUM($J$88,$J$86)</f>
        <v>0</v>
      </c>
      <c r="K85" s="12"/>
      <c r="L85" s="12"/>
    </row>
    <row r="86" spans="1:12" outlineLevel="4" x14ac:dyDescent="0.2">
      <c r="A86" s="66"/>
      <c r="B86" s="65" t="s">
        <v>21</v>
      </c>
      <c r="C86" s="13"/>
      <c r="D86" s="13"/>
      <c r="E86" s="13"/>
      <c r="F86" s="13"/>
      <c r="G86" s="13"/>
      <c r="H86" s="13"/>
      <c r="I86" s="43"/>
      <c r="J86" s="44">
        <f>SUM($J$87)</f>
        <v>0</v>
      </c>
      <c r="K86" s="11"/>
      <c r="L86" s="11"/>
    </row>
    <row r="87" spans="1:12" ht="22.5" outlineLevel="4" x14ac:dyDescent="0.2">
      <c r="A87" s="15"/>
      <c r="B87" s="67" t="s">
        <v>86</v>
      </c>
      <c r="C87" s="14"/>
      <c r="D87" s="14"/>
      <c r="E87" s="15" t="s">
        <v>37</v>
      </c>
      <c r="F87" s="15"/>
      <c r="G87" s="16">
        <v>122.75</v>
      </c>
      <c r="H87" s="16">
        <f>SUM($G$87:$G$87)</f>
        <v>122.75</v>
      </c>
      <c r="I87" s="18">
        <f t="array" ref="I87">INDEX(Р[Цена за ед., руб],MATCH(1,IF(($B87=Р[Наименование])*($K87=Р[Примечание]),{1},($B87=Р[Наименование])*($K87=Р[Примечание])),0))</f>
        <v>0</v>
      </c>
      <c r="J87" s="18">
        <f>ROUND($H$87*$I$87,2)</f>
        <v>0</v>
      </c>
      <c r="K87" s="14"/>
      <c r="L87" s="14"/>
    </row>
    <row r="88" spans="1:12" outlineLevel="4" x14ac:dyDescent="0.2">
      <c r="A88" s="66"/>
      <c r="B88" s="65" t="s">
        <v>24</v>
      </c>
      <c r="C88" s="13"/>
      <c r="D88" s="13"/>
      <c r="E88" s="13"/>
      <c r="F88" s="13"/>
      <c r="G88" s="13"/>
      <c r="H88" s="13"/>
      <c r="I88" s="43"/>
      <c r="J88" s="44">
        <f>SUM($J$89:$J$92)</f>
        <v>0</v>
      </c>
      <c r="K88" s="11"/>
      <c r="L88" s="11"/>
    </row>
    <row r="89" spans="1:12" outlineLevel="4" x14ac:dyDescent="0.2">
      <c r="A89" s="15" t="s">
        <v>25</v>
      </c>
      <c r="B89" s="67" t="s">
        <v>129</v>
      </c>
      <c r="C89" s="14"/>
      <c r="D89" s="14" t="s">
        <v>87</v>
      </c>
      <c r="E89" s="15" t="s">
        <v>40</v>
      </c>
      <c r="F89" s="83">
        <v>1.04</v>
      </c>
      <c r="G89" s="16">
        <v>614.04</v>
      </c>
      <c r="H89" s="16">
        <f>SUM($G$89:$G$89)</f>
        <v>614.04</v>
      </c>
      <c r="I89" s="90">
        <f>VLOOKUP(B89,М[#All],6,0)</f>
        <v>0</v>
      </c>
      <c r="J89" s="18">
        <f>ROUND($H$89*$I$89,2)</f>
        <v>0</v>
      </c>
      <c r="K89" s="14"/>
      <c r="L89" s="14" t="s">
        <v>102</v>
      </c>
    </row>
    <row r="90" spans="1:12" outlineLevel="4" x14ac:dyDescent="0.2">
      <c r="A90" s="15" t="s">
        <v>29</v>
      </c>
      <c r="B90" s="67" t="s">
        <v>130</v>
      </c>
      <c r="C90" s="14"/>
      <c r="D90" s="14" t="s">
        <v>88</v>
      </c>
      <c r="E90" s="15" t="s">
        <v>40</v>
      </c>
      <c r="F90" s="83">
        <v>0.08</v>
      </c>
      <c r="G90" s="16">
        <v>2.4700000000000002</v>
      </c>
      <c r="H90" s="16">
        <f>SUM($G$90:$G$90)</f>
        <v>2.4700000000000002</v>
      </c>
      <c r="I90" s="90">
        <f>VLOOKUP(B90,М[#All],6,0)</f>
        <v>0</v>
      </c>
      <c r="J90" s="18">
        <f>ROUND($H$90*$I$90,2)</f>
        <v>0</v>
      </c>
      <c r="K90" s="14"/>
      <c r="L90" s="14" t="s">
        <v>102</v>
      </c>
    </row>
    <row r="91" spans="1:12" outlineLevel="4" x14ac:dyDescent="0.2">
      <c r="A91" s="15" t="s">
        <v>31</v>
      </c>
      <c r="B91" s="67" t="s">
        <v>131</v>
      </c>
      <c r="C91" s="14"/>
      <c r="D91" s="14" t="s">
        <v>89</v>
      </c>
      <c r="E91" s="15" t="s">
        <v>40</v>
      </c>
      <c r="F91" s="83">
        <v>0.02</v>
      </c>
      <c r="G91" s="16">
        <v>12.28</v>
      </c>
      <c r="H91" s="16">
        <f>SUM($G$91:$G$91)</f>
        <v>12.28</v>
      </c>
      <c r="I91" s="90">
        <f>VLOOKUP(B91,М[#All],6,0)</f>
        <v>0</v>
      </c>
      <c r="J91" s="18">
        <f>ROUND($H$91*$I$91,2)</f>
        <v>0</v>
      </c>
      <c r="K91" s="14"/>
      <c r="L91" s="14" t="s">
        <v>102</v>
      </c>
    </row>
    <row r="92" spans="1:12" ht="22.5" outlineLevel="4" x14ac:dyDescent="0.2">
      <c r="A92" s="15" t="s">
        <v>49</v>
      </c>
      <c r="B92" s="67" t="s">
        <v>132</v>
      </c>
      <c r="C92" s="14"/>
      <c r="D92" s="14" t="s">
        <v>90</v>
      </c>
      <c r="E92" s="15" t="s">
        <v>62</v>
      </c>
      <c r="F92" s="83">
        <v>0.3</v>
      </c>
      <c r="G92" s="16">
        <v>9.2799999999999994</v>
      </c>
      <c r="H92" s="16">
        <f>SUM($G$92:$G$92)</f>
        <v>9.2799999999999994</v>
      </c>
      <c r="I92" s="90">
        <f>VLOOKUP(B92,М[#All],6,0)</f>
        <v>0</v>
      </c>
      <c r="J92" s="18">
        <f>ROUND($H$92*$I$92,2)</f>
        <v>0</v>
      </c>
      <c r="K92" s="14"/>
      <c r="L92" s="14" t="s">
        <v>102</v>
      </c>
    </row>
    <row r="93" spans="1:12" x14ac:dyDescent="0.2">
      <c r="A93" s="68"/>
      <c r="B93" s="69"/>
      <c r="C93" s="69"/>
      <c r="D93" s="69"/>
      <c r="E93" s="69"/>
      <c r="F93" s="81"/>
      <c r="G93" s="70"/>
      <c r="H93" s="71" t="s">
        <v>91</v>
      </c>
      <c r="I93" s="72"/>
      <c r="J93" s="45">
        <f>$J$9</f>
        <v>0</v>
      </c>
      <c r="K93" s="73"/>
      <c r="L93" s="73"/>
    </row>
    <row r="94" spans="1:12" x14ac:dyDescent="0.2">
      <c r="A94" s="68"/>
      <c r="B94" s="69"/>
      <c r="C94" s="69"/>
      <c r="D94" s="69"/>
      <c r="E94" s="69"/>
      <c r="F94" s="81"/>
      <c r="G94" s="70"/>
      <c r="H94" s="114" t="s">
        <v>148</v>
      </c>
      <c r="I94" s="71"/>
      <c r="J94" s="45"/>
      <c r="K94" s="73"/>
      <c r="L94" s="73"/>
    </row>
    <row r="95" spans="1:12" x14ac:dyDescent="0.2">
      <c r="A95" s="68"/>
      <c r="B95" s="69"/>
      <c r="C95" s="69"/>
      <c r="D95" s="69"/>
      <c r="E95" s="69"/>
      <c r="F95" s="81"/>
      <c r="G95" s="74"/>
      <c r="H95" s="75" t="s">
        <v>92</v>
      </c>
      <c r="I95" s="76"/>
      <c r="J95" s="45">
        <f>SUM($J$86,$J$76,$J$70,$J$58,$J$48,$J$38,$J$27,$J$23,$J$18,$J$12)</f>
        <v>0</v>
      </c>
      <c r="K95" s="73"/>
      <c r="L95" s="73"/>
    </row>
    <row r="96" spans="1:12" x14ac:dyDescent="0.2">
      <c r="A96" s="68"/>
      <c r="B96" s="69"/>
      <c r="C96" s="69"/>
      <c r="D96" s="69"/>
      <c r="E96" s="69"/>
      <c r="F96" s="81"/>
      <c r="G96" s="74"/>
      <c r="H96" s="75" t="s">
        <v>93</v>
      </c>
      <c r="I96" s="76"/>
      <c r="J96" s="45">
        <f>SUM($J$88,$J$78,$J$72,$J$60,$J$50,$J$40,$J$29,$J$25,$J$20,$J$14)</f>
        <v>0</v>
      </c>
      <c r="K96" s="73"/>
      <c r="L96" s="73"/>
    </row>
    <row r="97" spans="1:16" x14ac:dyDescent="0.2">
      <c r="A97" s="77"/>
      <c r="B97" s="46" t="s">
        <v>94</v>
      </c>
      <c r="C97" s="46"/>
      <c r="D97" s="46"/>
      <c r="E97" s="46"/>
      <c r="F97" s="46"/>
      <c r="G97" s="46"/>
      <c r="H97" s="46"/>
      <c r="I97" s="47"/>
      <c r="J97" s="47"/>
      <c r="K97" s="46"/>
      <c r="L97" s="77"/>
    </row>
    <row r="98" spans="1:16" x14ac:dyDescent="0.2">
      <c r="B98" s="78"/>
      <c r="C98" s="78"/>
      <c r="D98" s="78"/>
      <c r="E98" s="78"/>
      <c r="F98" s="78"/>
      <c r="G98" s="78"/>
      <c r="H98" s="78"/>
      <c r="I98" s="79"/>
      <c r="J98" s="79"/>
      <c r="K98" s="78"/>
    </row>
    <row r="101" spans="1:16" x14ac:dyDescent="0.2">
      <c r="A101" s="93"/>
      <c r="B101" s="94" t="s">
        <v>133</v>
      </c>
      <c r="C101" s="95"/>
      <c r="D101" s="95"/>
      <c r="E101" s="95"/>
      <c r="F101" s="96"/>
      <c r="G101" s="97"/>
      <c r="H101" s="98"/>
      <c r="I101" s="99"/>
      <c r="J101" s="98"/>
      <c r="K101" s="98"/>
      <c r="L101" s="98"/>
      <c r="M101" s="98"/>
      <c r="N101" s="100"/>
      <c r="O101" s="98"/>
      <c r="P101" s="98"/>
    </row>
    <row r="102" spans="1:16" ht="24" customHeight="1" x14ac:dyDescent="0.2">
      <c r="A102" s="93"/>
      <c r="B102" s="101" t="s">
        <v>134</v>
      </c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93"/>
      <c r="N102" s="102"/>
      <c r="O102" s="102"/>
      <c r="P102" s="102"/>
    </row>
    <row r="103" spans="1:16" x14ac:dyDescent="0.2">
      <c r="A103" s="93"/>
      <c r="B103" s="94" t="s">
        <v>135</v>
      </c>
      <c r="C103" s="103"/>
      <c r="D103" s="103"/>
      <c r="E103" s="103"/>
      <c r="F103" s="97"/>
      <c r="G103" s="97"/>
      <c r="H103" s="98"/>
      <c r="I103" s="99"/>
      <c r="J103" s="98"/>
      <c r="K103" s="98"/>
      <c r="L103" s="98"/>
      <c r="M103" s="98"/>
      <c r="N103" s="100"/>
      <c r="O103" s="98"/>
      <c r="P103" s="98"/>
    </row>
    <row r="104" spans="1:16" x14ac:dyDescent="0.2">
      <c r="A104" s="93"/>
      <c r="B104" s="94" t="s">
        <v>136</v>
      </c>
      <c r="C104" s="103"/>
      <c r="D104" s="103"/>
      <c r="E104" s="103"/>
      <c r="F104" s="97"/>
      <c r="G104" s="97"/>
      <c r="H104" s="98"/>
      <c r="I104" s="99"/>
      <c r="J104" s="98"/>
      <c r="K104" s="98"/>
      <c r="L104" s="98"/>
      <c r="M104" s="98"/>
      <c r="N104" s="100"/>
      <c r="O104" s="98"/>
      <c r="P104" s="98"/>
    </row>
    <row r="105" spans="1:16" x14ac:dyDescent="0.2">
      <c r="A105" s="103">
        <v>1</v>
      </c>
      <c r="B105" s="93" t="s">
        <v>137</v>
      </c>
      <c r="C105" s="93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</row>
    <row r="106" spans="1:16" x14ac:dyDescent="0.2">
      <c r="A106" s="103">
        <v>2</v>
      </c>
      <c r="B106" s="93" t="s">
        <v>138</v>
      </c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</row>
    <row r="107" spans="1:16" x14ac:dyDescent="0.2">
      <c r="A107" s="103">
        <v>3</v>
      </c>
      <c r="B107" s="93" t="s">
        <v>139</v>
      </c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</row>
    <row r="108" spans="1:16" x14ac:dyDescent="0.2">
      <c r="A108" s="103">
        <v>4</v>
      </c>
      <c r="B108" s="93" t="s">
        <v>140</v>
      </c>
      <c r="C108" s="93"/>
      <c r="D108" s="93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</row>
    <row r="109" spans="1:16" x14ac:dyDescent="0.2">
      <c r="A109" s="103">
        <v>5</v>
      </c>
      <c r="B109" s="93" t="s">
        <v>141</v>
      </c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</row>
    <row r="110" spans="1:16" x14ac:dyDescent="0.2">
      <c r="A110" s="103">
        <v>6</v>
      </c>
      <c r="B110" s="93" t="s">
        <v>142</v>
      </c>
      <c r="C110" s="93"/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</row>
    <row r="111" spans="1:16" x14ac:dyDescent="0.2">
      <c r="A111" s="103">
        <v>7</v>
      </c>
      <c r="B111" s="93" t="s">
        <v>86</v>
      </c>
      <c r="C111" s="103"/>
      <c r="D111" s="103"/>
      <c r="E111" s="103"/>
      <c r="F111" s="97"/>
      <c r="G111" s="97"/>
      <c r="H111" s="98"/>
      <c r="I111" s="99"/>
      <c r="J111" s="98"/>
      <c r="K111" s="98"/>
      <c r="L111" s="98"/>
      <c r="M111" s="98"/>
      <c r="N111" s="100"/>
      <c r="O111" s="98"/>
      <c r="P111" s="98"/>
    </row>
    <row r="112" spans="1:16" x14ac:dyDescent="0.2">
      <c r="A112" s="103">
        <v>8</v>
      </c>
      <c r="B112" s="104" t="s">
        <v>143</v>
      </c>
      <c r="C112" s="104"/>
      <c r="D112" s="104"/>
      <c r="E112" s="104"/>
      <c r="F112" s="105"/>
      <c r="G112" s="105"/>
      <c r="H112" s="104"/>
      <c r="I112" s="106"/>
      <c r="J112" s="104"/>
      <c r="K112" s="104"/>
      <c r="L112" s="104"/>
      <c r="M112" s="104"/>
      <c r="N112" s="104"/>
      <c r="O112" s="104"/>
      <c r="P112" s="104"/>
    </row>
    <row r="113" spans="1:16" ht="40.5" customHeight="1" x14ac:dyDescent="0.2">
      <c r="A113" s="107">
        <v>9</v>
      </c>
      <c r="B113" s="108" t="s">
        <v>144</v>
      </c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9"/>
      <c r="N113" s="109"/>
      <c r="O113" s="109"/>
      <c r="P113" s="109"/>
    </row>
    <row r="114" spans="1:16" x14ac:dyDescent="0.2">
      <c r="A114" s="110">
        <v>10</v>
      </c>
      <c r="B114" s="109" t="s">
        <v>145</v>
      </c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</row>
    <row r="115" spans="1:16" ht="24.75" customHeight="1" x14ac:dyDescent="0.2">
      <c r="A115" s="111">
        <v>11</v>
      </c>
      <c r="B115" s="112" t="s">
        <v>146</v>
      </c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3"/>
      <c r="N115" s="109"/>
      <c r="O115" s="109"/>
      <c r="P115" s="109"/>
    </row>
    <row r="116" spans="1:16" x14ac:dyDescent="0.2">
      <c r="A116" s="110">
        <v>12</v>
      </c>
      <c r="B116" s="109" t="s">
        <v>147</v>
      </c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</row>
  </sheetData>
  <mergeCells count="24">
    <mergeCell ref="B102:L102"/>
    <mergeCell ref="B113:L113"/>
    <mergeCell ref="B115:L115"/>
    <mergeCell ref="H94:I94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97:K97"/>
    <mergeCell ref="B98:K98"/>
    <mergeCell ref="K6:K7"/>
    <mergeCell ref="L6:L7"/>
    <mergeCell ref="H93:I93"/>
    <mergeCell ref="H95:I95"/>
    <mergeCell ref="H96:I9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5"/>
  <sheetViews>
    <sheetView workbookViewId="0">
      <pane ySplit="3" topLeftCell="A4" activePane="bottomLeft" state="frozen"/>
      <selection pane="bottomLeft" activeCell="E35" sqref="E35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58" t="s">
        <v>95</v>
      </c>
      <c r="B1" s="58"/>
      <c r="C1" s="58"/>
      <c r="D1" s="58"/>
      <c r="E1" s="58"/>
      <c r="F1" s="58"/>
    </row>
    <row r="3" spans="1:6" ht="11.1" customHeight="1" x14ac:dyDescent="0.2">
      <c r="A3" s="29" t="s">
        <v>3</v>
      </c>
      <c r="B3" s="2" t="s">
        <v>6</v>
      </c>
      <c r="C3" s="2" t="s">
        <v>9</v>
      </c>
      <c r="D3" s="36" t="s">
        <v>10</v>
      </c>
      <c r="E3" s="36" t="s">
        <v>11</v>
      </c>
      <c r="F3" s="30" t="s">
        <v>12</v>
      </c>
    </row>
    <row r="4" spans="1:6" ht="11.1" customHeight="1" x14ac:dyDescent="0.2">
      <c r="A4" s="27" t="s">
        <v>22</v>
      </c>
      <c r="B4" s="23" t="s">
        <v>23</v>
      </c>
      <c r="C4" s="24">
        <v>5.26</v>
      </c>
      <c r="D4" s="26"/>
      <c r="E4" s="26">
        <f>ROUND(Р[[#This Row],[Количество]]*Р[[#This Row],[Цена за ед., руб]],2)</f>
        <v>0</v>
      </c>
      <c r="F4" s="28"/>
    </row>
    <row r="5" spans="1:6" ht="11.1" customHeight="1" x14ac:dyDescent="0.2">
      <c r="A5" s="27" t="s">
        <v>34</v>
      </c>
      <c r="B5" s="23" t="s">
        <v>33</v>
      </c>
      <c r="C5" s="26">
        <v>1477.05</v>
      </c>
      <c r="D5" s="26"/>
      <c r="E5" s="26">
        <f>ROUND(Р[[#This Row],[Количество]]*Р[[#This Row],[Цена за ед., руб]],2)</f>
        <v>0</v>
      </c>
      <c r="F5" s="28" t="s">
        <v>35</v>
      </c>
    </row>
    <row r="6" spans="1:6" ht="11.1" customHeight="1" x14ac:dyDescent="0.2">
      <c r="A6" s="27" t="s">
        <v>41</v>
      </c>
      <c r="B6" s="23" t="s">
        <v>33</v>
      </c>
      <c r="C6" s="26">
        <v>2026.73</v>
      </c>
      <c r="D6" s="26"/>
      <c r="E6" s="26">
        <f>ROUND(Р[[#This Row],[Количество]]*Р[[#This Row],[Цена за ед., руб]],2)</f>
        <v>0</v>
      </c>
      <c r="F6" s="28"/>
    </row>
    <row r="7" spans="1:6" ht="47.1" customHeight="1" x14ac:dyDescent="0.2">
      <c r="A7" s="27" t="s">
        <v>43</v>
      </c>
      <c r="B7" s="23" t="s">
        <v>33</v>
      </c>
      <c r="C7" s="26">
        <v>7754.66</v>
      </c>
      <c r="D7" s="26"/>
      <c r="E7" s="26">
        <f>ROUND(Р[[#This Row],[Количество]]*Р[[#This Row],[Цена за ед., руб]],2)</f>
        <v>0</v>
      </c>
      <c r="F7" s="28" t="s">
        <v>44</v>
      </c>
    </row>
    <row r="8" spans="1:6" ht="71.099999999999994" customHeight="1" x14ac:dyDescent="0.2">
      <c r="A8" s="27" t="s">
        <v>63</v>
      </c>
      <c r="B8" s="23" t="s">
        <v>33</v>
      </c>
      <c r="C8" s="24">
        <v>487.94</v>
      </c>
      <c r="D8" s="26"/>
      <c r="E8" s="26">
        <f>ROUND(Р[[#This Row],[Количество]]*Р[[#This Row],[Цена за ед., руб]],2)</f>
        <v>0</v>
      </c>
      <c r="F8" s="28" t="s">
        <v>64</v>
      </c>
    </row>
    <row r="9" spans="1:6" ht="59.1" customHeight="1" x14ac:dyDescent="0.2">
      <c r="A9" s="27" t="s">
        <v>66</v>
      </c>
      <c r="B9" s="23" t="s">
        <v>33</v>
      </c>
      <c r="C9" s="24">
        <v>32.75</v>
      </c>
      <c r="D9" s="26"/>
      <c r="E9" s="26">
        <f>ROUND(Р[[#This Row],[Количество]]*Р[[#This Row],[Цена за ед., руб]],2)</f>
        <v>0</v>
      </c>
      <c r="F9" s="28" t="s">
        <v>67</v>
      </c>
    </row>
    <row r="10" spans="1:6" ht="59.1" customHeight="1" x14ac:dyDescent="0.2">
      <c r="A10" s="27" t="s">
        <v>68</v>
      </c>
      <c r="B10" s="23" t="s">
        <v>33</v>
      </c>
      <c r="C10" s="26">
        <v>1525.06</v>
      </c>
      <c r="D10" s="26"/>
      <c r="E10" s="26">
        <f>ROUND(Р[[#This Row],[Количество]]*Р[[#This Row],[Цена за ед., руб]],2)</f>
        <v>0</v>
      </c>
      <c r="F10" s="28" t="s">
        <v>69</v>
      </c>
    </row>
    <row r="11" spans="1:6" ht="11.1" customHeight="1" x14ac:dyDescent="0.2">
      <c r="A11" s="27" t="s">
        <v>74</v>
      </c>
      <c r="B11" s="23" t="s">
        <v>33</v>
      </c>
      <c r="C11" s="24">
        <v>325.19</v>
      </c>
      <c r="D11" s="26"/>
      <c r="E11" s="26">
        <f>ROUND(Р[[#This Row],[Количество]]*Р[[#This Row],[Цена за ед., руб]],2)</f>
        <v>0</v>
      </c>
      <c r="F11" s="28" t="s">
        <v>75</v>
      </c>
    </row>
    <row r="12" spans="1:6" ht="11.1" customHeight="1" x14ac:dyDescent="0.2">
      <c r="A12" s="27" t="s">
        <v>81</v>
      </c>
      <c r="B12" s="23" t="s">
        <v>33</v>
      </c>
      <c r="C12" s="24">
        <v>227.42</v>
      </c>
      <c r="D12" s="26"/>
      <c r="E12" s="26">
        <f>ROUND(Р[[#This Row],[Количество]]*Р[[#This Row],[Цена за ед., руб]],2)</f>
        <v>0</v>
      </c>
      <c r="F12" s="28"/>
    </row>
    <row r="13" spans="1:6" ht="11.1" customHeight="1" x14ac:dyDescent="0.2">
      <c r="A13" s="31" t="s">
        <v>86</v>
      </c>
      <c r="B13" s="32" t="s">
        <v>37</v>
      </c>
      <c r="C13" s="33">
        <v>122.75</v>
      </c>
      <c r="D13" s="26"/>
      <c r="E13" s="37">
        <f>ROUND(Р[[#This Row],[Количество]]*Р[[#This Row],[Цена за ед., руб]],2)</f>
        <v>0</v>
      </c>
      <c r="F13" s="35"/>
    </row>
    <row r="14" spans="1:6" ht="11.45" customHeight="1" x14ac:dyDescent="0.2">
      <c r="A14" s="31" t="s">
        <v>107</v>
      </c>
      <c r="B14" s="32"/>
      <c r="C14" s="34"/>
      <c r="D14" s="37" t="s">
        <v>109</v>
      </c>
      <c r="E14" s="37">
        <f>SUBTOTAL(109,Р[Сумма, руб])</f>
        <v>0</v>
      </c>
      <c r="F14" s="35"/>
    </row>
    <row r="15" spans="1:6" ht="11.45" customHeight="1" x14ac:dyDescent="0.2">
      <c r="D15" s="85" t="s">
        <v>110</v>
      </c>
      <c r="E15" s="86">
        <f>Р[[#Totals],[Сумма, руб]]-ЛСР!J95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8"/>
  <sheetViews>
    <sheetView workbookViewId="0">
      <pane ySplit="3" topLeftCell="A4" activePane="bottomLeft" state="frozen"/>
      <selection pane="bottomLeft" activeCell="F4" sqref="F4:F26"/>
    </sheetView>
  </sheetViews>
  <sheetFormatPr defaultColWidth="10.5" defaultRowHeight="11.25" x14ac:dyDescent="0.2"/>
  <cols>
    <col min="1" max="1" width="51.6640625" style="59" customWidth="1"/>
    <col min="2" max="2" width="26" style="59" customWidth="1"/>
    <col min="3" max="3" width="28.5" style="59" customWidth="1"/>
    <col min="4" max="4" width="10.6640625" style="59" customWidth="1"/>
    <col min="5" max="5" width="14.6640625" style="59" customWidth="1"/>
    <col min="6" max="6" width="18.33203125" style="59" customWidth="1"/>
    <col min="7" max="7" width="17" style="59" customWidth="1"/>
    <col min="8" max="8" width="36.5" style="59" customWidth="1"/>
    <col min="9" max="9" width="23.33203125" style="59" customWidth="1"/>
    <col min="10" max="16384" width="10.5" style="60"/>
  </cols>
  <sheetData>
    <row r="1" spans="1:9" x14ac:dyDescent="0.2">
      <c r="A1" s="87" t="s">
        <v>96</v>
      </c>
      <c r="B1" s="87"/>
      <c r="C1" s="87"/>
      <c r="D1" s="87"/>
      <c r="E1" s="87"/>
      <c r="F1" s="87"/>
      <c r="G1" s="87"/>
      <c r="H1" s="87"/>
    </row>
    <row r="3" spans="1:9" x14ac:dyDescent="0.2">
      <c r="A3" s="29" t="s">
        <v>97</v>
      </c>
      <c r="B3" s="38" t="s">
        <v>98</v>
      </c>
      <c r="C3" s="30" t="s">
        <v>99</v>
      </c>
      <c r="D3" s="2" t="s">
        <v>6</v>
      </c>
      <c r="E3" s="2" t="s">
        <v>9</v>
      </c>
      <c r="F3" s="36" t="s">
        <v>10</v>
      </c>
      <c r="G3" s="36" t="s">
        <v>11</v>
      </c>
      <c r="H3" s="2" t="s">
        <v>100</v>
      </c>
      <c r="I3" s="30" t="s">
        <v>101</v>
      </c>
    </row>
    <row r="4" spans="1:9" x14ac:dyDescent="0.2">
      <c r="A4" s="88" t="s">
        <v>26</v>
      </c>
      <c r="B4" s="25">
        <f>VLOOKUP(М[[#This Row],[Наим.]],ЛСР!$B$6:$L$92,2,0)</f>
        <v>0</v>
      </c>
      <c r="C4" s="25" t="str">
        <f>VLOOKUP(М[[#This Row],[Наим.]],ЛСР!$B$6:$L$92,3,0)</f>
        <v>А500С Ø8 ГОСТ 34028-2016</v>
      </c>
      <c r="D4" s="25" t="str">
        <f>VLOOKUP(М[[#This Row],[Наим.]],ЛСР!$B$6:$L$92,4,0)</f>
        <v>т</v>
      </c>
      <c r="E4" s="26">
        <f>SUMIF(ЛСР!$B$6:$B$92,$A4,ЛСР!$H$6:$H$92)</f>
        <v>8.8999999999999996E-2</v>
      </c>
      <c r="F4" s="26"/>
      <c r="G4" s="26">
        <f>ROUND(М[[#This Row],[Количество]]*М[[#This Row],[Цена за ед., руб]],2)</f>
        <v>0</v>
      </c>
      <c r="H4" s="25">
        <f>VLOOKUP(М[[#This Row],[Наим.]],ЛСР!$B$6:$L$92,10,0)</f>
        <v>0</v>
      </c>
      <c r="I4" s="25" t="str">
        <f>VLOOKUP(М[[#This Row],[Наим.]],ЛСР!$B$6:$L$92,11,0)</f>
        <v>Закупка подрядчик</v>
      </c>
    </row>
    <row r="5" spans="1:9" x14ac:dyDescent="0.2">
      <c r="A5" s="88" t="s">
        <v>111</v>
      </c>
      <c r="B5" s="25">
        <f>VLOOKUP(М[[#This Row],[Наим.]],ЛСР!$B$6:$L$92,2,0)</f>
        <v>0</v>
      </c>
      <c r="C5" s="25" t="str">
        <f>VLOOKUP(М[[#This Row],[Наим.]],ЛСР!$B$6:$L$92,3,0)</f>
        <v>БСТ B20</v>
      </c>
      <c r="D5" s="25" t="str">
        <f>VLOOKUP(М[[#This Row],[Наим.]],ЛСР!$B$6:$L$92,4,0)</f>
        <v>м3</v>
      </c>
      <c r="E5" s="26">
        <f>SUMIF(ЛСР!$B$6:$B$92,$A5,ЛСР!$H$6:$H$92)</f>
        <v>5.34</v>
      </c>
      <c r="F5" s="26"/>
      <c r="G5" s="26">
        <f>ROUND(М[[#This Row],[Количество]]*М[[#This Row],[Цена за ед., руб]],2)</f>
        <v>0</v>
      </c>
      <c r="H5" s="25">
        <f>VLOOKUP(М[[#This Row],[Наим.]],ЛСР!$B$6:$L$92,10,0)</f>
        <v>0</v>
      </c>
      <c r="I5" s="25" t="str">
        <f>VLOOKUP(М[[#This Row],[Наим.]],ЛСР!$B$6:$L$92,11,0)</f>
        <v>Закупка подрядчик</v>
      </c>
    </row>
    <row r="6" spans="1:9" ht="22.5" x14ac:dyDescent="0.2">
      <c r="A6" s="88" t="s">
        <v>112</v>
      </c>
      <c r="B6" s="25">
        <f>VLOOKUP(М[[#This Row],[Наим.]],ЛСР!$B$6:$L$92,2,0)</f>
        <v>0</v>
      </c>
      <c r="C6" s="25" t="str">
        <f>VLOOKUP(М[[#This Row],[Наим.]],ЛСР!$B$6:$L$92,3,0)</f>
        <v>кладочная сварная Вр-1 50х50х2</v>
      </c>
      <c r="D6" s="25" t="str">
        <f>VLOOKUP(М[[#This Row],[Наим.]],ЛСР!$B$6:$L$92,4,0)</f>
        <v>м2</v>
      </c>
      <c r="E6" s="26">
        <f>SUMIF(ЛСР!$B$6:$B$92,$A6,ЛСР!$H$6:$H$92)</f>
        <v>282.31</v>
      </c>
      <c r="F6" s="26"/>
      <c r="G6" s="26">
        <f>ROUND(М[[#This Row],[Количество]]*М[[#This Row],[Цена за ед., руб]],2)</f>
        <v>0</v>
      </c>
      <c r="H6" s="25">
        <f>VLOOKUP(М[[#This Row],[Наим.]],ЛСР!$B$6:$L$92,10,0)</f>
        <v>0</v>
      </c>
      <c r="I6" s="25" t="str">
        <f>VLOOKUP(М[[#This Row],[Наим.]],ЛСР!$B$6:$L$92,11,0)</f>
        <v>Закупка подрядчик</v>
      </c>
    </row>
    <row r="7" spans="1:9" x14ac:dyDescent="0.2">
      <c r="A7" s="88" t="s">
        <v>113</v>
      </c>
      <c r="B7" s="25">
        <f>VLOOKUP(М[[#This Row],[Наим.]],ЛСР!$B$6:$L$92,2,0)</f>
        <v>0</v>
      </c>
      <c r="C7" s="25" t="str">
        <f>VLOOKUP(М[[#This Row],[Наим.]],ЛСР!$B$6:$L$92,3,0)</f>
        <v>120х70мм</v>
      </c>
      <c r="D7" s="25" t="str">
        <f>VLOOKUP(М[[#This Row],[Наим.]],ЛСР!$B$6:$L$92,4,0)</f>
        <v>пог. м</v>
      </c>
      <c r="E7" s="26">
        <f>SUMIF(ЛСР!$B$6:$B$92,$A7,ЛСР!$H$6:$H$92)</f>
        <v>1939.34915</v>
      </c>
      <c r="F7" s="26"/>
      <c r="G7" s="26">
        <f>ROUND(М[[#This Row],[Количество]]*М[[#This Row],[Цена за ед., руб]],2)</f>
        <v>0</v>
      </c>
      <c r="H7" s="25">
        <f>VLOOKUP(М[[#This Row],[Наим.]],ЛСР!$B$6:$L$92,10,0)</f>
        <v>0</v>
      </c>
      <c r="I7" s="25" t="str">
        <f>VLOOKUP(М[[#This Row],[Наим.]],ЛСР!$B$6:$L$92,11,0)</f>
        <v>Закупка подрядчик</v>
      </c>
    </row>
    <row r="8" spans="1:9" x14ac:dyDescent="0.2">
      <c r="A8" s="88" t="s">
        <v>114</v>
      </c>
      <c r="B8" s="25" t="str">
        <f>VLOOKUP(М[[#This Row],[Наим.]],ЛСР!$B$6:$L$92,2,0)</f>
        <v>CR 65 Waterproof, Ceresit</v>
      </c>
      <c r="C8" s="25" t="str">
        <f>VLOOKUP(М[[#This Row],[Наим.]],ЛСР!$B$6:$L$92,3,0)</f>
        <v>обмазочная цементная</v>
      </c>
      <c r="D8" s="25" t="str">
        <f>VLOOKUP(М[[#This Row],[Наим.]],ЛСР!$B$6:$L$92,4,0)</f>
        <v>кг</v>
      </c>
      <c r="E8" s="26">
        <f>SUMIF(ЛСР!$B$6:$B$92,$A8,ЛСР!$H$6:$H$92)</f>
        <v>6113.48</v>
      </c>
      <c r="F8" s="26"/>
      <c r="G8" s="26">
        <f>ROUND(М[[#This Row],[Количество]]*М[[#This Row],[Цена за ед., руб]],2)</f>
        <v>0</v>
      </c>
      <c r="H8" s="25" t="str">
        <f>VLOOKUP(М[[#This Row],[Наим.]],ЛСР!$B$6:$L$92,10,0)</f>
        <v>CR 65 Waterproof, Ceresit</v>
      </c>
      <c r="I8" s="25" t="str">
        <f>VLOOKUP(М[[#This Row],[Наим.]],ЛСР!$B$6:$L$92,11,0)</f>
        <v>Закупка подрядчик</v>
      </c>
    </row>
    <row r="9" spans="1:9" x14ac:dyDescent="0.2">
      <c r="A9" s="88" t="s">
        <v>115</v>
      </c>
      <c r="B9" s="25">
        <f>VLOOKUP(М[[#This Row],[Наим.]],ЛСР!$B$6:$L$92,2,0)</f>
        <v>0</v>
      </c>
      <c r="C9" s="25" t="str">
        <f>VLOOKUP(М[[#This Row],[Наим.]],ЛСР!$B$6:$L$92,3,0)</f>
        <v>ЦПВС оцинк. 20х0,7х0,3</v>
      </c>
      <c r="D9" s="25" t="str">
        <f>VLOOKUP(М[[#This Row],[Наим.]],ЛСР!$B$6:$L$92,4,0)</f>
        <v>м2</v>
      </c>
      <c r="E9" s="26">
        <f>SUMIF(ЛСР!$B$6:$B$92,$A9,ЛСР!$H$6:$H$92)</f>
        <v>2128.04</v>
      </c>
      <c r="F9" s="26"/>
      <c r="G9" s="26">
        <f>ROUND(М[[#This Row],[Количество]]*М[[#This Row],[Цена за ед., руб]],2)</f>
        <v>0</v>
      </c>
      <c r="H9" s="25">
        <f>VLOOKUP(М[[#This Row],[Наим.]],ЛСР!$B$6:$L$92,10,0)</f>
        <v>0</v>
      </c>
      <c r="I9" s="25" t="str">
        <f>VLOOKUP(М[[#This Row],[Наим.]],ЛСР!$B$6:$L$92,11,0)</f>
        <v>Закупка подрядчик</v>
      </c>
    </row>
    <row r="10" spans="1:9" x14ac:dyDescent="0.2">
      <c r="A10" s="88" t="s">
        <v>116</v>
      </c>
      <c r="B10" s="25">
        <f>VLOOKUP(М[[#This Row],[Наим.]],ЛСР!$B$6:$L$92,2,0)</f>
        <v>0</v>
      </c>
      <c r="C10" s="25" t="str">
        <f>VLOOKUP(М[[#This Row],[Наим.]],ЛСР!$B$6:$L$92,3,0)</f>
        <v>армированная ТПЛ 48мм</v>
      </c>
      <c r="D10" s="25" t="str">
        <f>VLOOKUP(М[[#This Row],[Наим.]],ЛСР!$B$6:$L$92,4,0)</f>
        <v>м</v>
      </c>
      <c r="E10" s="26">
        <f>SUMIF(ЛСР!$B$6:$B$92,$A10,ЛСР!$H$6:$H$92)</f>
        <v>16596.95</v>
      </c>
      <c r="F10" s="26"/>
      <c r="G10" s="26">
        <f>ROUND(М[[#This Row],[Количество]]*М[[#This Row],[Цена за ед., руб]],2)</f>
        <v>0</v>
      </c>
      <c r="H10" s="25">
        <f>VLOOKUP(М[[#This Row],[Наим.]],ЛСР!$B$6:$L$92,10,0)</f>
        <v>0</v>
      </c>
      <c r="I10" s="25" t="str">
        <f>VLOOKUP(М[[#This Row],[Наим.]],ЛСР!$B$6:$L$92,11,0)</f>
        <v>Закупка подрядчик</v>
      </c>
    </row>
    <row r="11" spans="1:9" x14ac:dyDescent="0.2">
      <c r="A11" s="88" t="s">
        <v>117</v>
      </c>
      <c r="B11" s="25">
        <f>VLOOKUP(М[[#This Row],[Наим.]],ЛСР!$B$6:$L$92,2,0)</f>
        <v>0</v>
      </c>
      <c r="C11" s="25" t="str">
        <f>VLOOKUP(М[[#This Row],[Наим.]],ЛСР!$B$6:$L$92,3,0)</f>
        <v>ПЦ-400 Д20</v>
      </c>
      <c r="D11" s="25" t="str">
        <f>VLOOKUP(М[[#This Row],[Наим.]],ЛСР!$B$6:$L$92,4,0)</f>
        <v>кг</v>
      </c>
      <c r="E11" s="26">
        <f>SUMIF(ЛСР!$B$6:$B$92,$A11,ЛСР!$H$6:$H$92)</f>
        <v>361237.02</v>
      </c>
      <c r="F11" s="26"/>
      <c r="G11" s="26">
        <f>ROUND(М[[#This Row],[Количество]]*М[[#This Row],[Цена за ед., руб]],2)</f>
        <v>0</v>
      </c>
      <c r="H11" s="25">
        <f>VLOOKUP(М[[#This Row],[Наим.]],ЛСР!$B$6:$L$92,10,0)</f>
        <v>0</v>
      </c>
      <c r="I11" s="25" t="str">
        <f>VLOOKUP(М[[#This Row],[Наим.]],ЛСР!$B$6:$L$92,11,0)</f>
        <v>Закупка подрядчик</v>
      </c>
    </row>
    <row r="12" spans="1:9" ht="22.5" x14ac:dyDescent="0.2">
      <c r="A12" s="88" t="s">
        <v>118</v>
      </c>
      <c r="B12" s="25">
        <f>VLOOKUP(М[[#This Row],[Наим.]],ЛСР!$B$6:$L$92,2,0)</f>
        <v>0</v>
      </c>
      <c r="C12" s="25" t="str">
        <f>VLOOKUP(М[[#This Row],[Наим.]],ЛСР!$B$6:$L$92,3,0)</f>
        <v>среднезернистый МК 1,7-2,0; ГЧ до 3%</v>
      </c>
      <c r="D12" s="25" t="str">
        <f>VLOOKUP(М[[#This Row],[Наим.]],ЛСР!$B$6:$L$92,4,0)</f>
        <v>т</v>
      </c>
      <c r="E12" s="26">
        <f>SUMIF(ЛСР!$B$6:$B$92,$A12,ЛСР!$H$6:$H$92)</f>
        <v>1352.8500000000001</v>
      </c>
      <c r="F12" s="26"/>
      <c r="G12" s="26">
        <f>ROUND(М[[#This Row],[Количество]]*М[[#This Row],[Цена за ед., руб]],2)</f>
        <v>0</v>
      </c>
      <c r="H12" s="25">
        <f>VLOOKUP(М[[#This Row],[Наим.]],ЛСР!$B$6:$L$92,10,0)</f>
        <v>0</v>
      </c>
      <c r="I12" s="25" t="str">
        <f>VLOOKUP(М[[#This Row],[Наим.]],ЛСР!$B$6:$L$92,11,0)</f>
        <v>Закупка подрядчик</v>
      </c>
    </row>
    <row r="13" spans="1:9" x14ac:dyDescent="0.2">
      <c r="A13" s="88" t="s">
        <v>119</v>
      </c>
      <c r="B13" s="25">
        <f>VLOOKUP(М[[#This Row],[Наим.]],ЛСР!$B$6:$L$92,2,0)</f>
        <v>0</v>
      </c>
      <c r="C13" s="25" t="str">
        <f>VLOOKUP(М[[#This Row],[Наим.]],ЛСР!$B$6:$L$92,3,0)</f>
        <v>химически сшитый 10мм</v>
      </c>
      <c r="D13" s="25" t="str">
        <f>VLOOKUP(М[[#This Row],[Наим.]],ЛСР!$B$6:$L$92,4,0)</f>
        <v>м2</v>
      </c>
      <c r="E13" s="26">
        <f>SUMIF(ЛСР!$B$6:$B$92,$A13,ЛСР!$H$6:$H$92)</f>
        <v>8089.74</v>
      </c>
      <c r="F13" s="26"/>
      <c r="G13" s="26">
        <f>ROUND(М[[#This Row],[Количество]]*М[[#This Row],[Цена за ед., руб]],2)</f>
        <v>0</v>
      </c>
      <c r="H13" s="25">
        <f>VLOOKUP(М[[#This Row],[Наим.]],ЛСР!$B$6:$L$92,10,0)</f>
        <v>0</v>
      </c>
      <c r="I13" s="25" t="str">
        <f>VLOOKUP(М[[#This Row],[Наим.]],ЛСР!$B$6:$L$92,11,0)</f>
        <v>Закупка подрядчик</v>
      </c>
    </row>
    <row r="14" spans="1:9" ht="33.75" x14ac:dyDescent="0.2">
      <c r="A14" s="88" t="s">
        <v>120</v>
      </c>
      <c r="B14" s="25">
        <f>VLOOKUP(М[[#This Row],[Наим.]],ЛСР!$B$6:$L$92,2,0)</f>
        <v>0</v>
      </c>
      <c r="C14" s="25" t="str">
        <f>VLOOKUP(М[[#This Row],[Наим.]],ЛСР!$B$6:$L$92,3,0)</f>
        <v>акриловый</v>
      </c>
      <c r="D14" s="25" t="str">
        <f>VLOOKUP(М[[#This Row],[Наим.]],ЛСР!$B$6:$L$92,4,0)</f>
        <v>туб.</v>
      </c>
      <c r="E14" s="26">
        <f>SUMIF(ЛСР!$B$6:$B$92,$A14,ЛСР!$H$6:$H$92)</f>
        <v>774</v>
      </c>
      <c r="F14" s="26"/>
      <c r="G14" s="26">
        <f>ROUND(М[[#This Row],[Количество]]*М[[#This Row],[Цена за ед., руб]],2)</f>
        <v>0</v>
      </c>
      <c r="H14" s="25" t="str">
        <f>VLOOKUP(М[[#This Row],[Наим.]],ЛСР!$B$6:$L$92,10,0)</f>
        <v>Стиз В, туба - 600 мл - наносится внутри квартиры у оконного блока открытого балкона</v>
      </c>
      <c r="I14" s="25" t="str">
        <f>VLOOKUP(М[[#This Row],[Наим.]],ЛСР!$B$6:$L$92,11,0)</f>
        <v>Закупка подрядчик</v>
      </c>
    </row>
    <row r="15" spans="1:9" x14ac:dyDescent="0.2">
      <c r="A15" s="88" t="s">
        <v>121</v>
      </c>
      <c r="B15" s="25">
        <f>VLOOKUP(М[[#This Row],[Наим.]],ЛСР!$B$6:$L$92,2,0)</f>
        <v>0</v>
      </c>
      <c r="C15" s="25" t="str">
        <f>VLOOKUP(М[[#This Row],[Наим.]],ЛСР!$B$6:$L$92,3,0)</f>
        <v>полипропиленовое 12мм</v>
      </c>
      <c r="D15" s="25" t="str">
        <f>VLOOKUP(М[[#This Row],[Наим.]],ЛСР!$B$6:$L$92,4,0)</f>
        <v>кг</v>
      </c>
      <c r="E15" s="26">
        <f>SUMIF(ЛСР!$B$6:$B$92,$A15,ЛСР!$H$6:$H$92)</f>
        <v>310.47000000000003</v>
      </c>
      <c r="F15" s="26"/>
      <c r="G15" s="26">
        <f>ROUND(М[[#This Row],[Количество]]*М[[#This Row],[Цена за ед., руб]],2)</f>
        <v>0</v>
      </c>
      <c r="H15" s="25">
        <f>VLOOKUP(М[[#This Row],[Наим.]],ЛСР!$B$6:$L$92,10,0)</f>
        <v>0</v>
      </c>
      <c r="I15" s="25" t="str">
        <f>VLOOKUP(М[[#This Row],[Наим.]],ЛСР!$B$6:$L$92,11,0)</f>
        <v>Закупка подрядчик</v>
      </c>
    </row>
    <row r="16" spans="1:9" x14ac:dyDescent="0.2">
      <c r="A16" s="88" t="s">
        <v>122</v>
      </c>
      <c r="B16" s="25">
        <f>VLOOKUP(М[[#This Row],[Наим.]],ЛСР!$B$6:$L$92,2,0)</f>
        <v>0</v>
      </c>
      <c r="C16" s="25" t="str">
        <f>VLOOKUP(М[[#This Row],[Наим.]],ЛСР!$B$6:$L$92,3,0)</f>
        <v>8х100мм 20м</v>
      </c>
      <c r="D16" s="25" t="str">
        <f>VLOOKUP(М[[#This Row],[Наим.]],ЛСР!$B$6:$L$92,4,0)</f>
        <v>шт</v>
      </c>
      <c r="E16" s="26">
        <f>SUMIF(ЛСР!$B$6:$B$92,$A16,ЛСР!$H$6:$H$92)</f>
        <v>538</v>
      </c>
      <c r="F16" s="26"/>
      <c r="G16" s="26">
        <f>ROUND(М[[#This Row],[Количество]]*М[[#This Row],[Цена за ед., руб]],2)</f>
        <v>0</v>
      </c>
      <c r="H16" s="25">
        <f>VLOOKUP(М[[#This Row],[Наим.]],ЛСР!$B$6:$L$92,10,0)</f>
        <v>0</v>
      </c>
      <c r="I16" s="25" t="str">
        <f>VLOOKUP(М[[#This Row],[Наим.]],ЛСР!$B$6:$L$92,11,0)</f>
        <v>Закупка подрядчик</v>
      </c>
    </row>
    <row r="17" spans="1:9" x14ac:dyDescent="0.2">
      <c r="A17" s="88" t="s">
        <v>123</v>
      </c>
      <c r="B17" s="25">
        <f>VLOOKUP(М[[#This Row],[Наим.]],ЛСР!$B$6:$L$92,2,0)</f>
        <v>0</v>
      </c>
      <c r="C17" s="25" t="str">
        <f>VLOOKUP(М[[#This Row],[Наим.]],ЛСР!$B$6:$L$92,3,0)</f>
        <v>противоморозный</v>
      </c>
      <c r="D17" s="25" t="str">
        <f>VLOOKUP(М[[#This Row],[Наим.]],ЛСР!$B$6:$L$92,4,0)</f>
        <v>л (дм3)</v>
      </c>
      <c r="E17" s="26">
        <f>SUMIF(ЛСР!$B$6:$B$92,$A17,ЛСР!$H$6:$H$92)</f>
        <v>785.35000000000014</v>
      </c>
      <c r="F17" s="26"/>
      <c r="G17" s="26">
        <f>ROUND(М[[#This Row],[Количество]]*М[[#This Row],[Цена за ед., руб]],2)</f>
        <v>0</v>
      </c>
      <c r="H17" s="25">
        <f>VLOOKUP(М[[#This Row],[Наим.]],ЛСР!$B$6:$L$92,10,0)</f>
        <v>0</v>
      </c>
      <c r="I17" s="25" t="str">
        <f>VLOOKUP(М[[#This Row],[Наим.]],ЛСР!$B$6:$L$92,11,0)</f>
        <v>Закупка подрядчик</v>
      </c>
    </row>
    <row r="18" spans="1:9" x14ac:dyDescent="0.2">
      <c r="A18" s="88" t="s">
        <v>124</v>
      </c>
      <c r="B18" s="25">
        <f>VLOOKUP(М[[#This Row],[Наим.]],ЛСР!$B$6:$L$92,2,0)</f>
        <v>0</v>
      </c>
      <c r="C18" s="25" t="str">
        <f>VLOOKUP(М[[#This Row],[Наим.]],ЛСР!$B$6:$L$92,3,0)</f>
        <v>экструзионный 50мм 30 кг/м3</v>
      </c>
      <c r="D18" s="25" t="str">
        <f>VLOOKUP(М[[#This Row],[Наим.]],ЛСР!$B$6:$L$92,4,0)</f>
        <v>м3</v>
      </c>
      <c r="E18" s="26">
        <f>SUMIF(ЛСР!$B$6:$B$92,$A18,ЛСР!$H$6:$H$92)</f>
        <v>26.830000000000002</v>
      </c>
      <c r="F18" s="26"/>
      <c r="G18" s="26">
        <f>ROUND(М[[#This Row],[Количество]]*М[[#This Row],[Цена за ед., руб]],2)</f>
        <v>0</v>
      </c>
      <c r="H18" s="25">
        <f>VLOOKUP(М[[#This Row],[Наим.]],ЛСР!$B$6:$L$92,10,0)</f>
        <v>0</v>
      </c>
      <c r="I18" s="25" t="str">
        <f>VLOOKUP(М[[#This Row],[Наим.]],ЛСР!$B$6:$L$92,11,0)</f>
        <v>Закупка подрядчик</v>
      </c>
    </row>
    <row r="19" spans="1:9" ht="22.5" x14ac:dyDescent="0.2">
      <c r="A19" s="88" t="s">
        <v>125</v>
      </c>
      <c r="B19" s="25">
        <f>VLOOKUP(М[[#This Row],[Наим.]],ЛСР!$B$6:$L$92,2,0)</f>
        <v>0</v>
      </c>
      <c r="C19" s="25" t="str">
        <f>VLOOKUP(М[[#This Row],[Наим.]],ЛСР!$B$6:$L$92,3,0)</f>
        <v>акриловая глуб. проникновения пр. плесени</v>
      </c>
      <c r="D19" s="25" t="str">
        <f>VLOOKUP(М[[#This Row],[Наим.]],ЛСР!$B$6:$L$92,4,0)</f>
        <v>кг</v>
      </c>
      <c r="E19" s="26">
        <f>SUMIF(ЛСР!$B$6:$B$92,$A19,ЛСР!$H$6:$H$92)</f>
        <v>378.54</v>
      </c>
      <c r="F19" s="26"/>
      <c r="G19" s="26">
        <f>ROUND(М[[#This Row],[Количество]]*М[[#This Row],[Цена за ед., руб]],2)</f>
        <v>0</v>
      </c>
      <c r="H19" s="25">
        <f>VLOOKUP(М[[#This Row],[Наим.]],ЛСР!$B$6:$L$92,10,0)</f>
        <v>0</v>
      </c>
      <c r="I19" s="25" t="str">
        <f>VLOOKUP(М[[#This Row],[Наим.]],ЛСР!$B$6:$L$92,11,0)</f>
        <v>Закупка подрядчик</v>
      </c>
    </row>
    <row r="20" spans="1:9" x14ac:dyDescent="0.2">
      <c r="A20" s="88" t="s">
        <v>126</v>
      </c>
      <c r="B20" s="25">
        <f>VLOOKUP(М[[#This Row],[Наим.]],ЛСР!$B$6:$L$92,2,0)</f>
        <v>0</v>
      </c>
      <c r="C20" s="25" t="str">
        <f>VLOOKUP(М[[#This Row],[Наим.]],ЛСР!$B$6:$L$92,3,0)</f>
        <v>оклеечная</v>
      </c>
      <c r="D20" s="25" t="str">
        <f>VLOOKUP(М[[#This Row],[Наим.]],ЛСР!$B$6:$L$92,4,0)</f>
        <v>м2</v>
      </c>
      <c r="E20" s="26">
        <f>SUMIF(ЛСР!$B$6:$B$92,$A20,ЛСР!$H$6:$H$92)</f>
        <v>357.71</v>
      </c>
      <c r="F20" s="26"/>
      <c r="G20" s="26">
        <f>ROUND(М[[#This Row],[Количество]]*М[[#This Row],[Цена за ед., руб]],2)</f>
        <v>0</v>
      </c>
      <c r="H20" s="25" t="str">
        <f>VLOOKUP(М[[#This Row],[Наим.]],ЛСР!$B$6:$L$92,10,0)</f>
        <v>Технониколь Master</v>
      </c>
      <c r="I20" s="25" t="str">
        <f>VLOOKUP(М[[#This Row],[Наим.]],ЛСР!$B$6:$L$92,11,0)</f>
        <v>Закупка подрядчик</v>
      </c>
    </row>
    <row r="21" spans="1:9" x14ac:dyDescent="0.2">
      <c r="A21" s="88" t="s">
        <v>127</v>
      </c>
      <c r="B21" s="25">
        <f>VLOOKUP(М[[#This Row],[Наим.]],ЛСР!$B$6:$L$92,2,0)</f>
        <v>0</v>
      </c>
      <c r="C21" s="25" t="str">
        <f>VLOOKUP(М[[#This Row],[Наим.]],ЛСР!$B$6:$L$92,3,0)</f>
        <v>битумный</v>
      </c>
      <c r="D21" s="25" t="str">
        <f>VLOOKUP(М[[#This Row],[Наим.]],ЛСР!$B$6:$L$92,4,0)</f>
        <v>л (дм3)</v>
      </c>
      <c r="E21" s="26">
        <f>SUMIF(ЛСР!$B$6:$B$92,$A21,ЛСР!$H$6:$H$92)</f>
        <v>97.557000000000002</v>
      </c>
      <c r="F21" s="26"/>
      <c r="G21" s="26">
        <f>ROUND(М[[#This Row],[Количество]]*М[[#This Row],[Цена за ед., руб]],2)</f>
        <v>0</v>
      </c>
      <c r="H21" s="25" t="str">
        <f>VLOOKUP(М[[#This Row],[Наим.]],ЛСР!$B$6:$L$92,10,0)</f>
        <v>Технониколь</v>
      </c>
      <c r="I21" s="25" t="str">
        <f>VLOOKUP(М[[#This Row],[Наим.]],ЛСР!$B$6:$L$92,11,0)</f>
        <v>Закупка подрядчик</v>
      </c>
    </row>
    <row r="22" spans="1:9" x14ac:dyDescent="0.2">
      <c r="A22" s="88" t="s">
        <v>128</v>
      </c>
      <c r="B22" s="25">
        <f>VLOOKUP(М[[#This Row],[Наим.]],ЛСР!$B$6:$L$92,2,0)</f>
        <v>0</v>
      </c>
      <c r="C22" s="25" t="str">
        <f>VLOOKUP(М[[#This Row],[Наим.]],ЛСР!$B$6:$L$92,3,0)</f>
        <v>акриловая БетонКонтакт</v>
      </c>
      <c r="D22" s="25" t="str">
        <f>VLOOKUP(М[[#This Row],[Наим.]],ЛСР!$B$6:$L$92,4,0)</f>
        <v>кг</v>
      </c>
      <c r="E22" s="26">
        <f>SUMIF(ЛСР!$B$6:$B$92,$A22,ЛСР!$H$6:$H$92)</f>
        <v>79.599999999999994</v>
      </c>
      <c r="F22" s="26"/>
      <c r="G22" s="26">
        <f>ROUND(М[[#This Row],[Количество]]*М[[#This Row],[Цена за ед., руб]],2)</f>
        <v>0</v>
      </c>
      <c r="H22" s="25">
        <f>VLOOKUP(М[[#This Row],[Наим.]],ЛСР!$B$6:$L$92,10,0)</f>
        <v>0</v>
      </c>
      <c r="I22" s="25" t="str">
        <f>VLOOKUP(М[[#This Row],[Наим.]],ЛСР!$B$6:$L$92,11,0)</f>
        <v>Закупка подрядчик</v>
      </c>
    </row>
    <row r="23" spans="1:9" x14ac:dyDescent="0.2">
      <c r="A23" s="88" t="s">
        <v>129</v>
      </c>
      <c r="B23" s="25">
        <f>VLOOKUP(М[[#This Row],[Наим.]],ЛСР!$B$6:$L$92,2,0)</f>
        <v>0</v>
      </c>
      <c r="C23" s="25" t="str">
        <f>VLOOKUP(М[[#This Row],[Наим.]],ЛСР!$B$6:$L$92,3,0)</f>
        <v>63х63х5</v>
      </c>
      <c r="D23" s="25" t="str">
        <f>VLOOKUP(М[[#This Row],[Наим.]],ЛСР!$B$6:$L$92,4,0)</f>
        <v>кг</v>
      </c>
      <c r="E23" s="26">
        <f>SUMIF(ЛСР!$B$6:$B$92,$A23,ЛСР!$H$6:$H$92)</f>
        <v>614.04</v>
      </c>
      <c r="F23" s="26"/>
      <c r="G23" s="26">
        <f>ROUND(М[[#This Row],[Количество]]*М[[#This Row],[Цена за ед., руб]],2)</f>
        <v>0</v>
      </c>
      <c r="H23" s="25">
        <f>VLOOKUP(М[[#This Row],[Наим.]],ЛСР!$B$6:$L$92,10,0)</f>
        <v>0</v>
      </c>
      <c r="I23" s="25" t="str">
        <f>VLOOKUP(М[[#This Row],[Наим.]],ЛСР!$B$6:$L$92,11,0)</f>
        <v>Закупка подрядчик</v>
      </c>
    </row>
    <row r="24" spans="1:9" x14ac:dyDescent="0.2">
      <c r="A24" s="88" t="s">
        <v>130</v>
      </c>
      <c r="B24" s="25">
        <f>VLOOKUP(М[[#This Row],[Наим.]],ЛСР!$B$6:$L$92,2,0)</f>
        <v>0</v>
      </c>
      <c r="C24" s="25" t="str">
        <f>VLOOKUP(М[[#This Row],[Наим.]],ЛСР!$B$6:$L$92,3,0)</f>
        <v>алкидная ГФ-021</v>
      </c>
      <c r="D24" s="25" t="str">
        <f>VLOOKUP(М[[#This Row],[Наим.]],ЛСР!$B$6:$L$92,4,0)</f>
        <v>кг</v>
      </c>
      <c r="E24" s="26">
        <f>SUMIF(ЛСР!$B$6:$B$92,$A24,ЛСР!$H$6:$H$92)</f>
        <v>2.4700000000000002</v>
      </c>
      <c r="F24" s="26"/>
      <c r="G24" s="26">
        <f>ROUND(М[[#This Row],[Количество]]*М[[#This Row],[Цена за ед., руб]],2)</f>
        <v>0</v>
      </c>
      <c r="H24" s="25">
        <f>VLOOKUP(М[[#This Row],[Наим.]],ЛСР!$B$6:$L$92,10,0)</f>
        <v>0</v>
      </c>
      <c r="I24" s="25" t="str">
        <f>VLOOKUP(М[[#This Row],[Наим.]],ЛСР!$B$6:$L$92,11,0)</f>
        <v>Закупка подрядчик</v>
      </c>
    </row>
    <row r="25" spans="1:9" x14ac:dyDescent="0.2">
      <c r="A25" s="88" t="s">
        <v>131</v>
      </c>
      <c r="B25" s="25">
        <f>VLOOKUP(М[[#This Row],[Наим.]],ЛСР!$B$6:$L$92,2,0)</f>
        <v>0</v>
      </c>
      <c r="C25" s="25" t="str">
        <f>VLOOKUP(М[[#This Row],[Наим.]],ЛСР!$B$6:$L$92,3,0)</f>
        <v>Э42 Ø4мм</v>
      </c>
      <c r="D25" s="25" t="str">
        <f>VLOOKUP(М[[#This Row],[Наим.]],ЛСР!$B$6:$L$92,4,0)</f>
        <v>кг</v>
      </c>
      <c r="E25" s="26">
        <f>SUMIF(ЛСР!$B$6:$B$92,$A25,ЛСР!$H$6:$H$92)</f>
        <v>12.28</v>
      </c>
      <c r="F25" s="26"/>
      <c r="G25" s="26">
        <f>ROUND(М[[#This Row],[Количество]]*М[[#This Row],[Цена за ед., руб]],2)</f>
        <v>0</v>
      </c>
      <c r="H25" s="25">
        <f>VLOOKUP(М[[#This Row],[Наим.]],ЛСР!$B$6:$L$92,10,0)</f>
        <v>0</v>
      </c>
      <c r="I25" s="25" t="str">
        <f>VLOOKUP(М[[#This Row],[Наим.]],ЛСР!$B$6:$L$92,11,0)</f>
        <v>Закупка подрядчик</v>
      </c>
    </row>
    <row r="26" spans="1:9" x14ac:dyDescent="0.2">
      <c r="A26" s="89" t="s">
        <v>132</v>
      </c>
      <c r="B26" s="25">
        <f>VLOOKUP(М[[#This Row],[Наим.]],ЛСР!$B$6:$L$92,2,0)</f>
        <v>0</v>
      </c>
      <c r="C26" s="25" t="str">
        <f>VLOOKUP(М[[#This Row],[Наим.]],ЛСР!$B$6:$L$92,3,0)</f>
        <v>по металлу RAL7035</v>
      </c>
      <c r="D26" s="25" t="str">
        <f>VLOOKUP(М[[#This Row],[Наим.]],ЛСР!$B$6:$L$92,4,0)</f>
        <v>л (дм3)</v>
      </c>
      <c r="E26" s="26">
        <f>SUMIF(ЛСР!$B$6:$B$92,$A26,ЛСР!$H$6:$H$92)</f>
        <v>9.2799999999999994</v>
      </c>
      <c r="F26" s="26"/>
      <c r="G26" s="37">
        <f>ROUND(М[[#This Row],[Количество]]*М[[#This Row],[Цена за ед., руб]],2)</f>
        <v>0</v>
      </c>
      <c r="H26" s="25">
        <f>VLOOKUP(М[[#This Row],[Наим.]],ЛСР!$B$6:$L$92,10,0)</f>
        <v>0</v>
      </c>
      <c r="I26" s="25" t="str">
        <f>VLOOKUP(М[[#This Row],[Наим.]],ЛСР!$B$6:$L$92,11,0)</f>
        <v>Закупка подрядчик</v>
      </c>
    </row>
    <row r="27" spans="1:9" x14ac:dyDescent="0.2">
      <c r="A27" s="89" t="s">
        <v>107</v>
      </c>
      <c r="B27" s="39"/>
      <c r="C27" s="39"/>
      <c r="D27" s="32"/>
      <c r="E27" s="34"/>
      <c r="F27" s="37" t="s">
        <v>109</v>
      </c>
      <c r="G27" s="37">
        <f>SUBTOTAL(109,М[Сумма, руб])</f>
        <v>0</v>
      </c>
      <c r="H27" s="39"/>
      <c r="I27" s="35"/>
    </row>
    <row r="28" spans="1:9" x14ac:dyDescent="0.2">
      <c r="F28" s="91" t="s">
        <v>110</v>
      </c>
      <c r="G28" s="92">
        <f>М[[#Totals],[Сумма, руб]]-ЛСР!J96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" xr:uid="{1D21EEEF-8086-4BE7-916A-3C0215666567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103</v>
      </c>
      <c r="B1" s="1" t="s">
        <v>104</v>
      </c>
    </row>
    <row r="2" spans="1:2" ht="11.1" customHeight="1" x14ac:dyDescent="0.2">
      <c r="A2" s="1" t="s">
        <v>105</v>
      </c>
      <c r="B2" s="1" t="s">
        <v>106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2026-05-12T11:32:51Z</dcterms:modified>
</cp:coreProperties>
</file>