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ЖК Прео\ПРЕО 8\04. Кровля\"/>
    </mc:Choice>
  </mc:AlternateContent>
  <xr:revisionPtr revIDLastSave="0" documentId="13_ncr:1_{DAB331C6-A04F-4AF1-A0B2-7A8EB94E79DF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ЛСР!$A$6:$M$149</definedName>
  </definedNames>
  <calcPr calcId="191029" refMode="R1C1"/>
</workbook>
</file>

<file path=xl/calcChain.xml><?xml version="1.0" encoding="utf-8"?>
<calcChain xmlns="http://schemas.openxmlformats.org/spreadsheetml/2006/main">
  <c r="H4" i="2" l="1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3" i="2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" i="3"/>
  <c r="J145" i="1"/>
  <c r="J144" i="1"/>
  <c r="J143" i="1"/>
  <c r="J142" i="1"/>
  <c r="J136" i="1"/>
  <c r="J135" i="1"/>
  <c r="J134" i="1"/>
  <c r="J133" i="1"/>
  <c r="J132" i="1"/>
  <c r="J126" i="1"/>
  <c r="J125" i="1"/>
  <c r="J124" i="1"/>
  <c r="J123" i="1"/>
  <c r="J119" i="1"/>
  <c r="J118" i="1"/>
  <c r="J117" i="1"/>
  <c r="J111" i="1"/>
  <c r="J107" i="1"/>
  <c r="J106" i="1"/>
  <c r="J102" i="1"/>
  <c r="J101" i="1"/>
  <c r="J100" i="1"/>
  <c r="J99" i="1"/>
  <c r="J98" i="1"/>
  <c r="J97" i="1"/>
  <c r="J93" i="1"/>
  <c r="J92" i="1"/>
  <c r="J91" i="1"/>
  <c r="J87" i="1"/>
  <c r="J86" i="1"/>
  <c r="J82" i="1"/>
  <c r="J81" i="1"/>
  <c r="J80" i="1"/>
  <c r="J79" i="1"/>
  <c r="J78" i="1"/>
  <c r="J77" i="1"/>
  <c r="J73" i="1"/>
  <c r="J69" i="1"/>
  <c r="J68" i="1"/>
  <c r="J67" i="1"/>
  <c r="J63" i="1"/>
  <c r="J62" i="1"/>
  <c r="J58" i="1"/>
  <c r="J57" i="1"/>
  <c r="J56" i="1"/>
  <c r="J50" i="1"/>
  <c r="J49" i="1"/>
  <c r="J45" i="1"/>
  <c r="J41" i="1"/>
  <c r="J37" i="1"/>
  <c r="J36" i="1"/>
  <c r="J35" i="1"/>
  <c r="J31" i="1"/>
  <c r="J30" i="1"/>
  <c r="J29" i="1"/>
  <c r="J25" i="1"/>
  <c r="J24" i="1"/>
  <c r="J20" i="1"/>
  <c r="J19" i="1"/>
  <c r="J15" i="1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" i="3"/>
  <c r="F4" i="3"/>
  <c r="H4" i="3" s="1"/>
  <c r="G4" i="3"/>
  <c r="F5" i="3"/>
  <c r="H5" i="3" s="1"/>
  <c r="G5" i="3"/>
  <c r="F6" i="3"/>
  <c r="H6" i="3" s="1"/>
  <c r="G6" i="3"/>
  <c r="F7" i="3"/>
  <c r="H7" i="3" s="1"/>
  <c r="G7" i="3"/>
  <c r="F8" i="3"/>
  <c r="G8" i="3"/>
  <c r="H8" i="3"/>
  <c r="F9" i="3"/>
  <c r="H9" i="3" s="1"/>
  <c r="G9" i="3"/>
  <c r="F10" i="3"/>
  <c r="H10" i="3" s="1"/>
  <c r="G10" i="3"/>
  <c r="F11" i="3"/>
  <c r="G11" i="3"/>
  <c r="H11" i="3" s="1"/>
  <c r="F12" i="3"/>
  <c r="G12" i="3"/>
  <c r="H12" i="3" s="1"/>
  <c r="F13" i="3"/>
  <c r="G13" i="3"/>
  <c r="H13" i="3" s="1"/>
  <c r="F14" i="3"/>
  <c r="H14" i="3" s="1"/>
  <c r="G14" i="3"/>
  <c r="F15" i="3"/>
  <c r="H15" i="3" s="1"/>
  <c r="G15" i="3"/>
  <c r="F16" i="3"/>
  <c r="H16" i="3" s="1"/>
  <c r="G16" i="3"/>
  <c r="F17" i="3"/>
  <c r="G17" i="3"/>
  <c r="H17" i="3" s="1"/>
  <c r="F18" i="3"/>
  <c r="H18" i="3" s="1"/>
  <c r="G18" i="3"/>
  <c r="F19" i="3"/>
  <c r="G19" i="3"/>
  <c r="H19" i="3"/>
  <c r="F20" i="3"/>
  <c r="H20" i="3" s="1"/>
  <c r="G20" i="3"/>
  <c r="F21" i="3"/>
  <c r="H21" i="3" s="1"/>
  <c r="G21" i="3"/>
  <c r="F22" i="3"/>
  <c r="H22" i="3" s="1"/>
  <c r="G22" i="3"/>
  <c r="F23" i="3"/>
  <c r="H23" i="3" s="1"/>
  <c r="G23" i="3"/>
  <c r="F24" i="3"/>
  <c r="G24" i="3"/>
  <c r="H24" i="3"/>
  <c r="F25" i="3"/>
  <c r="H25" i="3" s="1"/>
  <c r="G25" i="3"/>
  <c r="F26" i="3"/>
  <c r="G26" i="3"/>
  <c r="H26" i="3" s="1"/>
  <c r="F27" i="3"/>
  <c r="G27" i="3"/>
  <c r="H27" i="3" s="1"/>
  <c r="F28" i="3"/>
  <c r="G28" i="3"/>
  <c r="H28" i="3" s="1"/>
  <c r="F29" i="3"/>
  <c r="G29" i="3"/>
  <c r="H29" i="3" s="1"/>
  <c r="F30" i="3"/>
  <c r="H30" i="3" s="1"/>
  <c r="G30" i="3"/>
  <c r="F31" i="3"/>
  <c r="H31" i="3" s="1"/>
  <c r="G31" i="3"/>
  <c r="F32" i="3"/>
  <c r="H32" i="3" s="1"/>
  <c r="G32" i="3"/>
  <c r="F33" i="3"/>
  <c r="H33" i="3" s="1"/>
  <c r="G33" i="3"/>
  <c r="F34" i="3"/>
  <c r="H34" i="3" s="1"/>
  <c r="G34" i="3"/>
  <c r="F35" i="3"/>
  <c r="G35" i="3"/>
  <c r="H35" i="3" s="1"/>
  <c r="F36" i="3"/>
  <c r="G36" i="3"/>
  <c r="H36" i="3"/>
  <c r="F37" i="3"/>
  <c r="H37" i="3" s="1"/>
  <c r="G37" i="3"/>
  <c r="H3" i="3"/>
  <c r="G3" i="3"/>
  <c r="F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J140" i="1"/>
  <c r="J130" i="1"/>
  <c r="J121" i="1"/>
  <c r="J115" i="1"/>
  <c r="J109" i="1"/>
  <c r="J104" i="1"/>
  <c r="J95" i="1"/>
  <c r="J89" i="1"/>
  <c r="J84" i="1"/>
  <c r="J75" i="1"/>
  <c r="J71" i="1"/>
  <c r="J65" i="1"/>
  <c r="J60" i="1"/>
  <c r="J54" i="1"/>
  <c r="J47" i="1"/>
  <c r="J43" i="1"/>
  <c r="J39" i="1"/>
  <c r="J33" i="1"/>
  <c r="J27" i="1"/>
  <c r="J22" i="1"/>
  <c r="J17" i="1"/>
  <c r="J13" i="1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3" i="2"/>
  <c r="D4" i="2"/>
  <c r="E4" i="2"/>
  <c r="D5" i="2"/>
  <c r="E5" i="2"/>
  <c r="D6" i="2"/>
  <c r="E6" i="2"/>
  <c r="D7" i="2"/>
  <c r="E7" i="2"/>
  <c r="D8" i="2"/>
  <c r="E8" i="2"/>
  <c r="D9" i="2"/>
  <c r="E9" i="2"/>
  <c r="D10" i="2"/>
  <c r="E10" i="2"/>
  <c r="D11" i="2"/>
  <c r="E11" i="2"/>
  <c r="D12" i="2"/>
  <c r="E12" i="2"/>
  <c r="D13" i="2"/>
  <c r="E13" i="2"/>
  <c r="D14" i="2"/>
  <c r="E14" i="2"/>
  <c r="D15" i="2"/>
  <c r="E15" i="2"/>
  <c r="D16" i="2"/>
  <c r="E16" i="2"/>
  <c r="D17" i="2"/>
  <c r="E17" i="2"/>
  <c r="D18" i="2"/>
  <c r="E18" i="2"/>
  <c r="D19" i="2"/>
  <c r="E19" i="2"/>
  <c r="D20" i="2"/>
  <c r="E20" i="2"/>
  <c r="D21" i="2"/>
  <c r="E21" i="2"/>
  <c r="D22" i="2"/>
  <c r="E22" i="2"/>
  <c r="D23" i="2"/>
  <c r="E23" i="2"/>
  <c r="E3" i="2"/>
  <c r="D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3" i="2"/>
  <c r="A3" i="3"/>
  <c r="F4" i="2" l="1"/>
  <c r="F6" i="2"/>
  <c r="F10" i="2"/>
  <c r="F23" i="2"/>
  <c r="F15" i="2"/>
  <c r="F5" i="2"/>
  <c r="F19" i="2"/>
  <c r="F18" i="2"/>
  <c r="F17" i="2"/>
  <c r="F9" i="2"/>
  <c r="F3" i="2"/>
  <c r="F11" i="2"/>
  <c r="F16" i="2"/>
  <c r="F22" i="2"/>
  <c r="F8" i="2"/>
  <c r="F21" i="2"/>
  <c r="F7" i="2"/>
  <c r="F20" i="2"/>
  <c r="F14" i="2"/>
  <c r="F13" i="2"/>
  <c r="F12" i="2"/>
  <c r="J38" i="3"/>
  <c r="H24" i="2" l="1"/>
  <c r="G79" i="1" l="1"/>
  <c r="G35" i="1"/>
  <c r="H15" i="1" l="1"/>
  <c r="G15" i="1"/>
  <c r="I145" i="1" l="1"/>
  <c r="I144" i="1"/>
  <c r="I143" i="1"/>
  <c r="I142" i="1"/>
  <c r="I140" i="1"/>
  <c r="I136" i="1"/>
  <c r="I135" i="1"/>
  <c r="I134" i="1"/>
  <c r="I133" i="1"/>
  <c r="I132" i="1"/>
  <c r="I130" i="1"/>
  <c r="I126" i="1"/>
  <c r="I125" i="1"/>
  <c r="I124" i="1"/>
  <c r="I123" i="1"/>
  <c r="I121" i="1"/>
  <c r="K121" i="1" s="1"/>
  <c r="K120" i="1" s="1"/>
  <c r="I119" i="1"/>
  <c r="I118" i="1"/>
  <c r="I117" i="1"/>
  <c r="I115" i="1"/>
  <c r="I111" i="1"/>
  <c r="I109" i="1"/>
  <c r="I107" i="1"/>
  <c r="I106" i="1"/>
  <c r="I104" i="1"/>
  <c r="I102" i="1"/>
  <c r="I101" i="1"/>
  <c r="I100" i="1"/>
  <c r="I99" i="1"/>
  <c r="I98" i="1"/>
  <c r="I97" i="1"/>
  <c r="I95" i="1"/>
  <c r="K95" i="1" s="1"/>
  <c r="K94" i="1" s="1"/>
  <c r="I93" i="1"/>
  <c r="I92" i="1"/>
  <c r="I91" i="1"/>
  <c r="I89" i="1"/>
  <c r="I87" i="1"/>
  <c r="I86" i="1"/>
  <c r="I84" i="1"/>
  <c r="I82" i="1"/>
  <c r="I81" i="1"/>
  <c r="I80" i="1"/>
  <c r="I79" i="1"/>
  <c r="I78" i="1"/>
  <c r="I77" i="1"/>
  <c r="I75" i="1"/>
  <c r="I73" i="1"/>
  <c r="I71" i="1"/>
  <c r="K71" i="1" s="1"/>
  <c r="K70" i="1" s="1"/>
  <c r="I69" i="1"/>
  <c r="I68" i="1"/>
  <c r="I67" i="1"/>
  <c r="I65" i="1"/>
  <c r="I63" i="1"/>
  <c r="I62" i="1"/>
  <c r="I60" i="1"/>
  <c r="I58" i="1"/>
  <c r="I57" i="1"/>
  <c r="I56" i="1"/>
  <c r="I54" i="1"/>
  <c r="I50" i="1"/>
  <c r="I49" i="1"/>
  <c r="I47" i="1"/>
  <c r="K47" i="1" s="1"/>
  <c r="K46" i="1" s="1"/>
  <c r="I45" i="1"/>
  <c r="I43" i="1"/>
  <c r="K43" i="1" s="1"/>
  <c r="K42" i="1" s="1"/>
  <c r="I41" i="1"/>
  <c r="I39" i="1"/>
  <c r="I37" i="1"/>
  <c r="I36" i="1"/>
  <c r="I35" i="1"/>
  <c r="I33" i="1"/>
  <c r="I31" i="1"/>
  <c r="I30" i="1"/>
  <c r="I29" i="1"/>
  <c r="I27" i="1"/>
  <c r="I25" i="1"/>
  <c r="I24" i="1"/>
  <c r="I22" i="1"/>
  <c r="K22" i="1" s="1"/>
  <c r="K21" i="1" s="1"/>
  <c r="I20" i="1"/>
  <c r="I19" i="1"/>
  <c r="I17" i="1"/>
  <c r="K17" i="1" s="1"/>
  <c r="K16" i="1" s="1"/>
  <c r="I15" i="1"/>
  <c r="I13" i="1"/>
  <c r="K13" i="1"/>
  <c r="K12" i="1" s="1"/>
  <c r="K24" i="1"/>
  <c r="K25" i="1"/>
  <c r="K27" i="1"/>
  <c r="K26" i="1" s="1"/>
  <c r="K29" i="1"/>
  <c r="K30" i="1"/>
  <c r="K31" i="1"/>
  <c r="K33" i="1"/>
  <c r="K32" i="1" s="1"/>
  <c r="K36" i="1"/>
  <c r="K37" i="1"/>
  <c r="K39" i="1"/>
  <c r="K38" i="1" s="1"/>
  <c r="K41" i="1"/>
  <c r="K40" i="1" s="1"/>
  <c r="K50" i="1"/>
  <c r="K54" i="1"/>
  <c r="K53" i="1" s="1"/>
  <c r="K56" i="1"/>
  <c r="K57" i="1"/>
  <c r="K58" i="1"/>
  <c r="K60" i="1"/>
  <c r="K59" i="1" s="1"/>
  <c r="K62" i="1"/>
  <c r="K63" i="1"/>
  <c r="K65" i="1"/>
  <c r="K64" i="1" s="1"/>
  <c r="K67" i="1"/>
  <c r="K68" i="1"/>
  <c r="K69" i="1"/>
  <c r="K75" i="1"/>
  <c r="K74" i="1" s="1"/>
  <c r="K78" i="1"/>
  <c r="K80" i="1"/>
  <c r="K81" i="1"/>
  <c r="K82" i="1"/>
  <c r="K84" i="1"/>
  <c r="K83" i="1" s="1"/>
  <c r="K86" i="1"/>
  <c r="K87" i="1"/>
  <c r="K89" i="1"/>
  <c r="K88" i="1" s="1"/>
  <c r="K91" i="1"/>
  <c r="K92" i="1"/>
  <c r="K93" i="1"/>
  <c r="K100" i="1"/>
  <c r="K101" i="1"/>
  <c r="K102" i="1"/>
  <c r="K104" i="1"/>
  <c r="K103" i="1" s="1"/>
  <c r="K106" i="1"/>
  <c r="K107" i="1"/>
  <c r="K109" i="1"/>
  <c r="K108" i="1" s="1"/>
  <c r="K111" i="1"/>
  <c r="K110" i="1" s="1"/>
  <c r="K115" i="1"/>
  <c r="K114" i="1" s="1"/>
  <c r="K117" i="1"/>
  <c r="K118" i="1"/>
  <c r="K119" i="1"/>
  <c r="K126" i="1"/>
  <c r="K130" i="1"/>
  <c r="K129" i="1" s="1"/>
  <c r="K132" i="1"/>
  <c r="K133" i="1"/>
  <c r="K134" i="1"/>
  <c r="K135" i="1"/>
  <c r="K136" i="1"/>
  <c r="K140" i="1"/>
  <c r="K139" i="1" s="1"/>
  <c r="K142" i="1"/>
  <c r="K143" i="1"/>
  <c r="K144" i="1"/>
  <c r="K145" i="1"/>
  <c r="K105" i="1" l="1"/>
  <c r="K66" i="1"/>
  <c r="K61" i="1"/>
  <c r="K23" i="1"/>
  <c r="K28" i="1"/>
  <c r="K77" i="1"/>
  <c r="K99" i="1"/>
  <c r="K73" i="1"/>
  <c r="K72" i="1" s="1"/>
  <c r="K125" i="1"/>
  <c r="K49" i="1"/>
  <c r="K48" i="1" s="1"/>
  <c r="K98" i="1"/>
  <c r="K97" i="1"/>
  <c r="K20" i="1"/>
  <c r="K124" i="1"/>
  <c r="K123" i="1"/>
  <c r="K45" i="1"/>
  <c r="K44" i="1" s="1"/>
  <c r="K55" i="1"/>
  <c r="K147" i="1"/>
  <c r="H25" i="2" s="1"/>
  <c r="K90" i="1"/>
  <c r="K15" i="1"/>
  <c r="K14" i="1" s="1"/>
  <c r="K85" i="1"/>
  <c r="K19" i="1"/>
  <c r="K79" i="1"/>
  <c r="K35" i="1"/>
  <c r="K34" i="1" s="1"/>
  <c r="K141" i="1"/>
  <c r="K138" i="1" s="1"/>
  <c r="K137" i="1" s="1"/>
  <c r="K131" i="1"/>
  <c r="K128" i="1" s="1"/>
  <c r="K127" i="1" s="1"/>
  <c r="K116" i="1"/>
  <c r="K96" i="1" l="1"/>
  <c r="K122" i="1"/>
  <c r="K113" i="1" s="1"/>
  <c r="K112" i="1" s="1"/>
  <c r="K76" i="1"/>
  <c r="K52" i="1" s="1"/>
  <c r="K51" i="1" s="1"/>
  <c r="K18" i="1"/>
  <c r="K11" i="1"/>
  <c r="K10" i="1" s="1"/>
  <c r="K148" i="1" l="1"/>
  <c r="J39" i="3" s="1"/>
  <c r="K9" i="1"/>
  <c r="K146" i="1" s="1"/>
</calcChain>
</file>

<file path=xl/sharedStrings.xml><?xml version="1.0" encoding="utf-8"?>
<sst xmlns="http://schemas.openxmlformats.org/spreadsheetml/2006/main" count="554" uniqueCount="179">
  <si>
    <t>Объект: «Жилой район «Преображенский» в г. Тюмени. Квартал 8. Участок 72:17:1313004:1005. Многоэтажный жилой дом с нежилыми помещениями ГП-72.214» Секция 1, 2</t>
  </si>
  <si>
    <t>Ведомость объемов работ и расхода материалов по работе: Устройство кровли и сопутствующим работам (согласно проекту шифр АС,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</si>
  <si>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</si>
  <si>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</si>
  <si>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</si>
  <si>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</si>
  <si>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</si>
  <si>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</si>
  <si>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</si>
  <si>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Секция 2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</si>
  <si>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</si>
  <si>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</si>
  <si>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</si>
  <si>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</si>
  <si>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</si>
  <si>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04</t>
  </si>
  <si>
    <t>Кровля</t>
  </si>
  <si>
    <t>04.01</t>
  </si>
  <si>
    <t>Устройство кровли</t>
  </si>
  <si>
    <t>04.01.01</t>
  </si>
  <si>
    <t>Устройство основного пирога наплавляемой кровли</t>
  </si>
  <si>
    <t>04.01.01.00</t>
  </si>
  <si>
    <t>Устройство основного пирога кровли</t>
  </si>
  <si>
    <t>Работы:</t>
  </si>
  <si>
    <t>Нанесение битумного праймера под гидроизоляцию</t>
  </si>
  <si>
    <t>м2</t>
  </si>
  <si>
    <t>в т.ч. в местах примыкания</t>
  </si>
  <si>
    <t>Материалы:</t>
  </si>
  <si>
    <t>1</t>
  </si>
  <si>
    <t>№01, Технониколь</t>
  </si>
  <si>
    <t>битумный</t>
  </si>
  <si>
    <t>л (дм3)</t>
  </si>
  <si>
    <t>Укладка пароизоляции по подготовленному основанию насухо (с проклейкой швов)</t>
  </si>
  <si>
    <t>Пленка строительная</t>
  </si>
  <si>
    <t>D, Изоспан</t>
  </si>
  <si>
    <t>гидропароизоляционная</t>
  </si>
  <si>
    <t>2</t>
  </si>
  <si>
    <t>KL+, Изоспан</t>
  </si>
  <si>
    <t>усиленная двухсторонняя 25мм,25м</t>
  </si>
  <si>
    <t>шт</t>
  </si>
  <si>
    <t>Укладка утеплителя толщ. 200мм.</t>
  </si>
  <si>
    <t>экструзионный 1180х580х100мм 35кг/м3</t>
  </si>
  <si>
    <t>м3</t>
  </si>
  <si>
    <t>В два слоя</t>
  </si>
  <si>
    <t>противопожарная</t>
  </si>
  <si>
    <t>баллон</t>
  </si>
  <si>
    <t>Устройство кровель плоских из наплавляемых материалов в 2 слоя</t>
  </si>
  <si>
    <t>ЭКП 10х1м</t>
  </si>
  <si>
    <t>ЭПП 10х1м</t>
  </si>
  <si>
    <t>3</t>
  </si>
  <si>
    <t>Газ-пропан</t>
  </si>
  <si>
    <t>Устройство стяжек сборных из плоских асбестоцементных листов плоских (2слоя)</t>
  </si>
  <si>
    <t>Лист асбестоцементный</t>
  </si>
  <si>
    <t>ЛП-П 10мм</t>
  </si>
  <si>
    <t>в 2 слоя</t>
  </si>
  <si>
    <t>Кляймер</t>
  </si>
  <si>
    <t>10мм двойной гнутый для плоского шифера</t>
  </si>
  <si>
    <t>по дереву 3,5х45</t>
  </si>
  <si>
    <t>Устройство уклонообразующего слоя из керамзита с разуклонкой</t>
  </si>
  <si>
    <t>толщ.50-250мм</t>
  </si>
  <si>
    <t>Керамзит</t>
  </si>
  <si>
    <t>фр.10-20мм</t>
  </si>
  <si>
    <t>Устройство уклонообразующего слоя из цементно-песчаной стяжки с разуклонкой</t>
  </si>
  <si>
    <t>Раствор строительный</t>
  </si>
  <si>
    <t>цементно-песчаный М100</t>
  </si>
  <si>
    <t>Утепление парапетов</t>
  </si>
  <si>
    <t>для теплоизоляции с термоголовкой 10х160</t>
  </si>
  <si>
    <t>100мм 130 кг/м3</t>
  </si>
  <si>
    <t>04.01.02</t>
  </si>
  <si>
    <t>Устройство примыканий наплавляемой кровли</t>
  </si>
  <si>
    <t>04.01.02.00</t>
  </si>
  <si>
    <t>Монтаж краевой рейки в примыканию к парапету с герметизацией по верху</t>
  </si>
  <si>
    <t>пог. м</t>
  </si>
  <si>
    <t>алюминиевая 3000х32х3,0</t>
  </si>
  <si>
    <t>полиуретановый</t>
  </si>
  <si>
    <t>туб.</t>
  </si>
  <si>
    <t>6х40</t>
  </si>
  <si>
    <t>Монтаж утеплителя (минплита) толщ.100мм</t>
  </si>
  <si>
    <t>Монтаж утеплителя (минплита) толщ.150мм</t>
  </si>
  <si>
    <t>Утеплитель до пола (вентшахты), присоединение секций h=0,4 м</t>
  </si>
  <si>
    <t>для теплоизоляции с термоголовкой 10х220</t>
  </si>
  <si>
    <t>150мм 110 кг/м3</t>
  </si>
  <si>
    <t>Обшивка асбестоцементными листами</t>
  </si>
  <si>
    <t>вентшахты, кладки вокруг фановых труб, парапет</t>
  </si>
  <si>
    <t>рамный металлический 10х202</t>
  </si>
  <si>
    <t>рамный металлический 10х152</t>
  </si>
  <si>
    <t>4</t>
  </si>
  <si>
    <t>обрезная антисептированная 50х100х6000</t>
  </si>
  <si>
    <t>5</t>
  </si>
  <si>
    <t>обрезная антисептированная 50х150х6000</t>
  </si>
  <si>
    <t>6</t>
  </si>
  <si>
    <t>Усиление примыканий, углов и стыков АЦЛ</t>
  </si>
  <si>
    <t>200мм - углы, 150мм- стыки</t>
  </si>
  <si>
    <t>Устройство галтели в примыканиях из асбестоцементных листов</t>
  </si>
  <si>
    <t>шаг 300мм примыкание только к АЦЛ</t>
  </si>
  <si>
    <t>шаг 300мм, примыкание только к парапету</t>
  </si>
  <si>
    <t>Устройство примыканий водоизоляционного слоя и оклеечная гидроизоляция (2 слоя)</t>
  </si>
  <si>
    <t>устройство примыканий к выпускам труб</t>
  </si>
  <si>
    <t>Хомут червячный</t>
  </si>
  <si>
    <t>120-140/12мм</t>
  </si>
  <si>
    <t>Устройство примыканий пароизоляционного слоя к вертикальным конструкциям</t>
  </si>
  <si>
    <t>Устройство цементно-песчаной стяжки по верху парапета</t>
  </si>
  <si>
    <t>04.01.05</t>
  </si>
  <si>
    <t>Монтаж водоприемных воронок, монтаж аэраторов</t>
  </si>
  <si>
    <t>04.01.05.00</t>
  </si>
  <si>
    <t>Монтаж водоприемных воронок, Монтаж аэраторов</t>
  </si>
  <si>
    <t>Монтаж аэраторов</t>
  </si>
  <si>
    <t>160х460мм</t>
  </si>
  <si>
    <t>Монтаж водоприемных воронок</t>
  </si>
  <si>
    <t>DN-110</t>
  </si>
  <si>
    <t>Воронка кровельная ТП 01.100/6-Э с обжимным фланцем и электрообогревом, на основной кровле</t>
  </si>
  <si>
    <t>Татполимер</t>
  </si>
  <si>
    <t>С отводом и листвоуловителем ТП-01.П.ПП черная, козырьки 2-го этажа</t>
  </si>
  <si>
    <t>04.01.06</t>
  </si>
  <si>
    <t>Монтаж фартука металлического</t>
  </si>
  <si>
    <t>04.01.06.00</t>
  </si>
  <si>
    <t>присоединение секций</t>
  </si>
  <si>
    <t>распорный полипропилен 6х120</t>
  </si>
  <si>
    <t>пристенный накладной сталь оцинк. 20х100х400х100 0,7мм RAL9004</t>
  </si>
  <si>
    <t>пристенный накладной сталь оцинк. 20х100х160х100 0,7мм RAL9004</t>
  </si>
  <si>
    <t>Soudaseal 240 FC, Soudal</t>
  </si>
  <si>
    <t>гибридный полимерный</t>
  </si>
  <si>
    <t>Герметизация стыков, Soudaseal 240 FC, Soudal</t>
  </si>
  <si>
    <t>кровельные 4,8х80</t>
  </si>
  <si>
    <t>04.01.07</t>
  </si>
  <si>
    <t>Монтаж парапетных крышек</t>
  </si>
  <si>
    <t>04.01.07.00</t>
  </si>
  <si>
    <t>оцинк.сталь 560мм 0,7мм RAL9004</t>
  </si>
  <si>
    <t>Ширина развертки - 20х50х90х560х120х50х20 мм.
10см перехлест,  2м длина профиля. Размеры уточнить по месту.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</si>
  <si>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</si>
  <si>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</si>
  <si>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</si>
  <si>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</si>
  <si>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ЛСР</t>
  </si>
  <si>
    <t>ЛСРГуид</t>
  </si>
  <si>
    <t>ГП-72.214.01.04.01 Секция 1_Устройство кровли №1</t>
  </si>
  <si>
    <t>f3e98c0c-3d6e-11f1-9618-db392af1e994</t>
  </si>
  <si>
    <t>ГП-72.214.02.04.01 Секция 2_Устройство кровли №1</t>
  </si>
  <si>
    <t>fbfb0e02-3d6e-11f1-9618-db392af1e994</t>
  </si>
  <si>
    <t>Локальный сметный расчет (ЛСР) №1</t>
  </si>
  <si>
    <t>Спецификация материалов</t>
  </si>
  <si>
    <t>Марка/ Завод изготовитель</t>
  </si>
  <si>
    <t>секция 1</t>
  </si>
  <si>
    <t>секция 2</t>
  </si>
  <si>
    <t>Кол-во</t>
  </si>
  <si>
    <t>Цена за ед.</t>
  </si>
  <si>
    <t>Сумма</t>
  </si>
  <si>
    <t>Итого:</t>
  </si>
  <si>
    <t>Проверка:</t>
  </si>
  <si>
    <t>Ведомость объемов работ</t>
  </si>
  <si>
    <t>Унифлекс ЭКП 10х1м</t>
  </si>
  <si>
    <t>Унифлекс ЭПП 10х1м</t>
  </si>
  <si>
    <t>Плита минераловатная 100мм 130 кг/м3</t>
  </si>
  <si>
    <t>Плита минераловатная 150мм 110 кг/м3</t>
  </si>
  <si>
    <t>Дюбель для теплоизоляции с термоголовкой 10х160</t>
  </si>
  <si>
    <t>Рейка краевая алюминиевая 3000х32х3,0</t>
  </si>
  <si>
    <t>Герметик полиуретановый</t>
  </si>
  <si>
    <t>Дюбель-гвоздь 6х40</t>
  </si>
  <si>
    <t>Праймер битумный</t>
  </si>
  <si>
    <t>Пена монтажная противопожарная</t>
  </si>
  <si>
    <t>Саморезы по дереву 3,5х45</t>
  </si>
  <si>
    <t xml:space="preserve">Лента клейкая </t>
  </si>
  <si>
    <t>Дюбель для теплоизоляции с термоголовкой 10х220</t>
  </si>
  <si>
    <t>Дюбель рамный металлический 10х202</t>
  </si>
  <si>
    <t>Дюбель рамный металлический 10х152</t>
  </si>
  <si>
    <t>Доска обрезная антисептированная 50х100х6000</t>
  </si>
  <si>
    <t>Доска обрезная антисептированная 50х150х6000</t>
  </si>
  <si>
    <t>Аэратор 160х460мм</t>
  </si>
  <si>
    <t>Воронка кровельная тип 1</t>
  </si>
  <si>
    <t>Воронка кровельная тип 2</t>
  </si>
  <si>
    <t>Дюбель распорный полипропилен 6х120</t>
  </si>
  <si>
    <t>Фартук кровельный пристенный накладной сталь оцинк. 20х100х160х100 0,7мм RAL9004</t>
  </si>
  <si>
    <t>Герметик гибридный полимерный</t>
  </si>
  <si>
    <t>Саморезы кровельные 4,8х80</t>
  </si>
  <si>
    <t>Крышка парапетная оцинк.сталь 560мм 0,7мм RAL9004</t>
  </si>
  <si>
    <t>Пенополистирол экструзионный 1180х580х100мм 35кг/м3</t>
  </si>
  <si>
    <t>Лист асбестоцементный ЛП-П 10мм</t>
  </si>
  <si>
    <t>Фартук кровельный пристенный накладной сталь оцинк. 20х100х400х100 0,7мм RAL9004</t>
  </si>
  <si>
    <t>Закупка подрядчик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</si>
</sst>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"/>
    <numFmt numFmtId="165" formatCode="0.000"/>
  </numFmts>
  <fonts count="13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</font>
    <font>
      <sz val="11"/>
      <color theme="0"/>
      <name val="Calibri"/>
      <family val="2"/>
      <charset val="204"/>
      <scheme val="minor"/>
    </font>
    <font>
      <sz val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u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sz val="8"/>
      <color rgb="FFFF0000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3" fillId="8" borderId="0" applyNumberFormat="0" applyBorder="0" applyAlignment="0" applyProtection="0"/>
    <xf numFmtId="0" fontId="1" fillId="0" borderId="0"/>
  </cellStyleXfs>
  <cellXfs count="100">
    <xf numFmtId="0" fontId="0" fillId="0" borderId="0" xfId="0"/>
    <xf numFmtId="0" fontId="0" fillId="0" borderId="0" xfId="0" applyAlignment="1">
      <alignment horizontal="left"/>
    </xf>
    <xf numFmtId="0" fontId="4" fillId="5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left" vertical="center" wrapText="1"/>
    </xf>
    <xf numFmtId="0" fontId="4" fillId="5" borderId="5" xfId="0" applyFont="1" applyFill="1" applyBorder="1" applyAlignment="1">
      <alignment horizontal="center" vertical="center" wrapText="1"/>
    </xf>
    <xf numFmtId="165" fontId="4" fillId="5" borderId="5" xfId="0" applyNumberFormat="1" applyFont="1" applyFill="1" applyBorder="1" applyAlignment="1">
      <alignment horizontal="right" vertical="center"/>
    </xf>
    <xf numFmtId="2" fontId="4" fillId="5" borderId="5" xfId="0" applyNumberFormat="1" applyFont="1" applyFill="1" applyBorder="1" applyAlignment="1">
      <alignment horizontal="right" vertical="center"/>
    </xf>
    <xf numFmtId="4" fontId="4" fillId="5" borderId="5" xfId="0" applyNumberFormat="1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164" fontId="4" fillId="5" borderId="5" xfId="0" applyNumberFormat="1" applyFont="1" applyFill="1" applyBorder="1" applyAlignment="1">
      <alignment horizontal="right" vertical="center"/>
    </xf>
    <xf numFmtId="0" fontId="4" fillId="9" borderId="5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left" vertical="center" wrapText="1"/>
    </xf>
    <xf numFmtId="0" fontId="4" fillId="9" borderId="5" xfId="0" applyFont="1" applyFill="1" applyBorder="1" applyAlignment="1">
      <alignment horizontal="center" vertical="center" wrapText="1"/>
    </xf>
    <xf numFmtId="165" fontId="4" fillId="9" borderId="5" xfId="0" applyNumberFormat="1" applyFont="1" applyFill="1" applyBorder="1" applyAlignment="1">
      <alignment horizontal="right" vertical="center"/>
    </xf>
    <xf numFmtId="4" fontId="4" fillId="9" borderId="5" xfId="0" applyNumberFormat="1" applyFont="1" applyFill="1" applyBorder="1" applyAlignment="1">
      <alignment horizontal="right" vertical="center"/>
    </xf>
    <xf numFmtId="0" fontId="4" fillId="9" borderId="0" xfId="0" applyFont="1" applyFill="1" applyAlignment="1">
      <alignment vertical="center"/>
    </xf>
    <xf numFmtId="2" fontId="4" fillId="9" borderId="5" xfId="0" applyNumberFormat="1" applyFont="1" applyFill="1" applyBorder="1" applyAlignment="1">
      <alignment horizontal="right" vertical="center"/>
    </xf>
    <xf numFmtId="164" fontId="4" fillId="9" borderId="5" xfId="0" applyNumberFormat="1" applyFont="1" applyFill="1" applyBorder="1" applyAlignment="1">
      <alignment horizontal="right" vertical="center"/>
    </xf>
    <xf numFmtId="0" fontId="5" fillId="0" borderId="0" xfId="0" applyFont="1"/>
    <xf numFmtId="0" fontId="5" fillId="0" borderId="0" xfId="0" applyFont="1" applyAlignment="1">
      <alignment wrapText="1"/>
    </xf>
    <xf numFmtId="0" fontId="6" fillId="0" borderId="9" xfId="2" applyFont="1" applyFill="1" applyBorder="1" applyAlignment="1">
      <alignment horizontal="center" vertical="center" wrapText="1"/>
    </xf>
    <xf numFmtId="4" fontId="6" fillId="0" borderId="9" xfId="2" applyNumberFormat="1" applyFont="1" applyFill="1" applyBorder="1" applyAlignment="1">
      <alignment horizontal="center" vertical="center" wrapText="1"/>
    </xf>
    <xf numFmtId="0" fontId="5" fillId="9" borderId="9" xfId="0" applyFont="1" applyFill="1" applyBorder="1" applyAlignment="1">
      <alignment horizontal="center" vertical="center"/>
    </xf>
    <xf numFmtId="0" fontId="5" fillId="9" borderId="9" xfId="0" applyFont="1" applyFill="1" applyBorder="1" applyAlignment="1">
      <alignment horizontal="left" vertical="center" wrapText="1"/>
    </xf>
    <xf numFmtId="0" fontId="5" fillId="9" borderId="9" xfId="0" applyFont="1" applyFill="1" applyBorder="1" applyAlignment="1">
      <alignment horizontal="center" vertical="center" wrapText="1"/>
    </xf>
    <xf numFmtId="4" fontId="5" fillId="9" borderId="9" xfId="0" applyNumberFormat="1" applyFont="1" applyFill="1" applyBorder="1" applyAlignment="1">
      <alignment horizontal="center" vertical="center"/>
    </xf>
    <xf numFmtId="0" fontId="5" fillId="9" borderId="0" xfId="0" applyFont="1" applyFill="1"/>
    <xf numFmtId="0" fontId="5" fillId="0" borderId="0" xfId="0" applyFont="1" applyAlignment="1">
      <alignment horizontal="right"/>
    </xf>
    <xf numFmtId="4" fontId="5" fillId="0" borderId="0" xfId="0" applyNumberFormat="1" applyFont="1" applyAlignment="1">
      <alignment horizontal="center" vertical="center"/>
    </xf>
    <xf numFmtId="43" fontId="5" fillId="9" borderId="0" xfId="1" applyFont="1" applyFill="1" applyBorder="1"/>
    <xf numFmtId="0" fontId="7" fillId="0" borderId="0" xfId="0" applyFont="1"/>
    <xf numFmtId="0" fontId="8" fillId="0" borderId="0" xfId="0" applyFont="1" applyAlignment="1">
      <alignment vertical="center" wrapText="1"/>
    </xf>
    <xf numFmtId="0" fontId="9" fillId="0" borderId="0" xfId="0" applyFont="1"/>
    <xf numFmtId="49" fontId="7" fillId="0" borderId="0" xfId="0" applyNumberFormat="1" applyFont="1" applyAlignment="1">
      <alignment horizontal="center" vertical="center"/>
    </xf>
    <xf numFmtId="0" fontId="7" fillId="0" borderId="0" xfId="3" applyFont="1" applyAlignment="1">
      <alignment vertical="top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5" fillId="0" borderId="0" xfId="3" applyFont="1" applyAlignment="1">
      <alignment vertical="center"/>
    </xf>
    <xf numFmtId="0" fontId="5" fillId="0" borderId="9" xfId="0" applyFont="1" applyBorder="1" applyAlignment="1">
      <alignment horizontal="left" vertical="center" wrapText="1"/>
    </xf>
    <xf numFmtId="0" fontId="7" fillId="0" borderId="0" xfId="3" applyFont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right" vertical="center"/>
    </xf>
    <xf numFmtId="4" fontId="4" fillId="2" borderId="5" xfId="0" applyNumberFormat="1" applyFont="1" applyFill="1" applyBorder="1" applyAlignment="1">
      <alignment horizontal="right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right" vertical="center"/>
    </xf>
    <xf numFmtId="4" fontId="4" fillId="3" borderId="5" xfId="0" applyNumberFormat="1" applyFont="1" applyFill="1" applyBorder="1" applyAlignment="1">
      <alignment horizontal="right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left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right" vertical="center"/>
    </xf>
    <xf numFmtId="0" fontId="4" fillId="4" borderId="5" xfId="0" applyFont="1" applyFill="1" applyBorder="1" applyAlignment="1">
      <alignment horizontal="right" vertical="center"/>
    </xf>
    <xf numFmtId="4" fontId="4" fillId="4" borderId="5" xfId="0" applyNumberFormat="1" applyFont="1" applyFill="1" applyBorder="1" applyAlignment="1">
      <alignment horizontal="right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center" vertical="center"/>
    </xf>
    <xf numFmtId="4" fontId="4" fillId="4" borderId="5" xfId="0" applyNumberFormat="1" applyFont="1" applyFill="1" applyBorder="1" applyAlignment="1">
      <alignment horizontal="center" vertical="center"/>
    </xf>
    <xf numFmtId="4" fontId="10" fillId="4" borderId="0" xfId="0" applyNumberFormat="1" applyFont="1" applyFill="1" applyAlignment="1">
      <alignment horizontal="right" vertical="center"/>
    </xf>
    <xf numFmtId="0" fontId="4" fillId="5" borderId="5" xfId="0" applyFont="1" applyFill="1" applyBorder="1" applyAlignment="1">
      <alignment horizontal="right" vertical="center"/>
    </xf>
    <xf numFmtId="1" fontId="4" fillId="5" borderId="5" xfId="0" applyNumberFormat="1" applyFont="1" applyFill="1" applyBorder="1" applyAlignment="1">
      <alignment horizontal="right" vertical="center"/>
    </xf>
    <xf numFmtId="3" fontId="4" fillId="5" borderId="5" xfId="0" applyNumberFormat="1" applyFont="1" applyFill="1" applyBorder="1" applyAlignment="1">
      <alignment horizontal="right" vertical="center"/>
    </xf>
    <xf numFmtId="3" fontId="4" fillId="9" borderId="5" xfId="0" applyNumberFormat="1" applyFont="1" applyFill="1" applyBorder="1" applyAlignment="1">
      <alignment horizontal="right" vertical="center"/>
    </xf>
    <xf numFmtId="0" fontId="4" fillId="9" borderId="5" xfId="0" applyFont="1" applyFill="1" applyBorder="1" applyAlignment="1">
      <alignment horizontal="right" vertical="center"/>
    </xf>
    <xf numFmtId="1" fontId="4" fillId="9" borderId="5" xfId="0" applyNumberFormat="1" applyFont="1" applyFill="1" applyBorder="1" applyAlignment="1">
      <alignment horizontal="right" vertical="center"/>
    </xf>
    <xf numFmtId="0" fontId="4" fillId="6" borderId="5" xfId="0" applyFont="1" applyFill="1" applyBorder="1" applyAlignment="1">
      <alignment horizontal="left" vertical="center"/>
    </xf>
    <xf numFmtId="0" fontId="4" fillId="6" borderId="6" xfId="0" applyFont="1" applyFill="1" applyBorder="1" applyAlignment="1">
      <alignment horizontal="left" vertical="center"/>
    </xf>
    <xf numFmtId="0" fontId="10" fillId="6" borderId="7" xfId="0" applyFont="1" applyFill="1" applyBorder="1" applyAlignment="1">
      <alignment horizontal="right" vertical="center"/>
    </xf>
    <xf numFmtId="4" fontId="10" fillId="6" borderId="5" xfId="0" applyNumberFormat="1" applyFont="1" applyFill="1" applyBorder="1" applyAlignment="1">
      <alignment horizontal="right" vertical="center"/>
    </xf>
    <xf numFmtId="0" fontId="4" fillId="6" borderId="5" xfId="0" applyFont="1" applyFill="1" applyBorder="1" applyAlignment="1">
      <alignment horizontal="right" vertical="center"/>
    </xf>
    <xf numFmtId="0" fontId="11" fillId="6" borderId="7" xfId="0" applyFont="1" applyFill="1" applyBorder="1" applyAlignment="1">
      <alignment horizontal="right" vertical="center"/>
    </xf>
    <xf numFmtId="0" fontId="4" fillId="7" borderId="5" xfId="0" applyFont="1" applyFill="1" applyBorder="1" applyAlignment="1">
      <alignment horizontal="left" vertical="center"/>
    </xf>
    <xf numFmtId="4" fontId="4" fillId="9" borderId="9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right" vertical="center"/>
    </xf>
    <xf numFmtId="4" fontId="10" fillId="6" borderId="7" xfId="0" applyNumberFormat="1" applyFont="1" applyFill="1" applyBorder="1" applyAlignment="1">
      <alignment horizontal="right" vertical="center"/>
    </xf>
    <xf numFmtId="0" fontId="11" fillId="6" borderId="7" xfId="0" applyFont="1" applyFill="1" applyBorder="1" applyAlignment="1">
      <alignment horizontal="right" vertical="center"/>
    </xf>
    <xf numFmtId="4" fontId="11" fillId="6" borderId="7" xfId="0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 wrapText="1"/>
    </xf>
    <xf numFmtId="4" fontId="10" fillId="7" borderId="7" xfId="0" applyNumberFormat="1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4" fontId="10" fillId="0" borderId="8" xfId="0" applyNumberFormat="1" applyFont="1" applyBorder="1" applyAlignment="1">
      <alignment horizontal="left" vertical="center" wrapText="1"/>
    </xf>
    <xf numFmtId="0" fontId="7" fillId="0" borderId="0" xfId="3" applyFont="1" applyAlignment="1">
      <alignment horizontal="left" vertical="top" wrapText="1"/>
    </xf>
    <xf numFmtId="0" fontId="12" fillId="0" borderId="0" xfId="0" applyFont="1" applyAlignment="1">
      <alignment vertical="center"/>
    </xf>
  </cellXfs>
  <cellStyles count="4">
    <cellStyle name="Акцент1 2" xfId="2" xr:uid="{3A6A5216-9355-41B1-B94D-169880A3D739}"/>
    <cellStyle name="Обычный" xfId="0" builtinId="0"/>
    <cellStyle name="Обычный 3 2 2 2" xfId="3" xr:uid="{E347F59D-4F47-4E16-A644-31363EBEDE6E}"/>
    <cellStyle name="Финансовый" xfId="1" builtinId="3"/>
  </cellStyles>
  <dxfs count="8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O150"/>
  <sheetViews>
    <sheetView tabSelected="1" zoomScale="115" zoomScaleNormal="115" workbookViewId="0">
      <pane ySplit="7" topLeftCell="A8" activePane="bottomLeft" state="frozen"/>
      <selection pane="bottomLeft" activeCell="P97" sqref="N97:P100"/>
    </sheetView>
  </sheetViews>
  <sheetFormatPr defaultColWidth="10.5" defaultRowHeight="11.45" customHeight="1" outlineLevelRow="4" x14ac:dyDescent="0.2"/>
  <cols>
    <col min="1" max="1" width="13" style="42" customWidth="1"/>
    <col min="2" max="2" width="36" style="42" customWidth="1"/>
    <col min="3" max="3" width="15.83203125" style="42" customWidth="1"/>
    <col min="4" max="4" width="17" style="42" customWidth="1"/>
    <col min="5" max="5" width="10" style="42" customWidth="1"/>
    <col min="6" max="6" width="9.6640625" style="42" customWidth="1"/>
    <col min="7" max="8" width="10.5" style="42" customWidth="1"/>
    <col min="9" max="9" width="14.6640625" style="42" customWidth="1"/>
    <col min="10" max="10" width="16" style="42" customWidth="1"/>
    <col min="11" max="11" width="17" style="42" customWidth="1"/>
    <col min="12" max="12" width="28.5" style="42" customWidth="1"/>
    <col min="13" max="13" width="23.33203125" style="42" customWidth="1"/>
    <col min="14" max="16384" width="10.5" style="8"/>
  </cols>
  <sheetData>
    <row r="1" spans="1:13" ht="11.1" customHeight="1" x14ac:dyDescent="0.2"/>
    <row r="2" spans="1:13" ht="11.1" customHeight="1" x14ac:dyDescent="0.2">
      <c r="B2" s="90" t="s">
        <v>139</v>
      </c>
      <c r="C2" s="90"/>
      <c r="D2" s="90"/>
      <c r="E2" s="90"/>
      <c r="F2" s="90"/>
      <c r="G2" s="90"/>
      <c r="H2" s="90"/>
      <c r="I2" s="90"/>
      <c r="J2" s="90"/>
    </row>
    <row r="3" spans="1:13" ht="23.1" customHeight="1" x14ac:dyDescent="0.2">
      <c r="B3" s="91" t="s">
        <v>0</v>
      </c>
      <c r="C3" s="91"/>
      <c r="D3" s="91"/>
      <c r="E3" s="91"/>
      <c r="F3" s="91"/>
      <c r="G3" s="91"/>
      <c r="H3" s="91"/>
      <c r="I3" s="91"/>
      <c r="J3" s="91"/>
    </row>
    <row r="4" spans="1:13" ht="11.1" customHeight="1" x14ac:dyDescent="0.2">
      <c r="B4" s="91" t="s">
        <v>1</v>
      </c>
      <c r="C4" s="91"/>
      <c r="D4" s="91"/>
      <c r="E4" s="91"/>
      <c r="F4" s="91"/>
      <c r="G4" s="91"/>
      <c r="H4" s="91"/>
      <c r="I4" s="91"/>
      <c r="J4" s="91"/>
    </row>
    <row r="5" spans="1:13" ht="11.1" customHeight="1" x14ac:dyDescent="0.2"/>
    <row r="6" spans="1:13" ht="11.1" customHeight="1" x14ac:dyDescent="0.2">
      <c r="A6" s="78" t="s">
        <v>2</v>
      </c>
      <c r="B6" s="78" t="s">
        <v>3</v>
      </c>
      <c r="C6" s="80" t="s">
        <v>4</v>
      </c>
      <c r="D6" s="82" t="s">
        <v>5</v>
      </c>
      <c r="E6" s="78" t="s">
        <v>6</v>
      </c>
      <c r="F6" s="84" t="s">
        <v>7</v>
      </c>
      <c r="G6" s="92" t="s">
        <v>8</v>
      </c>
      <c r="H6" s="92" t="s">
        <v>9</v>
      </c>
      <c r="I6" s="78" t="s">
        <v>10</v>
      </c>
      <c r="J6" s="84" t="s">
        <v>11</v>
      </c>
      <c r="K6" s="84" t="s">
        <v>12</v>
      </c>
      <c r="L6" s="78" t="s">
        <v>13</v>
      </c>
      <c r="M6" s="84" t="s">
        <v>14</v>
      </c>
    </row>
    <row r="7" spans="1:13" ht="11.1" customHeight="1" x14ac:dyDescent="0.2">
      <c r="A7" s="79"/>
      <c r="B7" s="79"/>
      <c r="C7" s="81"/>
      <c r="D7" s="83"/>
      <c r="E7" s="79"/>
      <c r="F7" s="85"/>
      <c r="G7" s="93"/>
      <c r="H7" s="93"/>
      <c r="I7" s="79"/>
      <c r="J7" s="85"/>
      <c r="K7" s="85"/>
      <c r="L7" s="79"/>
      <c r="M7" s="85"/>
    </row>
    <row r="8" spans="1:13" ht="11.1" customHeight="1" x14ac:dyDescent="0.2">
      <c r="A8" s="43" t="s">
        <v>15</v>
      </c>
      <c r="B8" s="44" t="s">
        <v>16</v>
      </c>
      <c r="C8" s="45"/>
      <c r="D8" s="45"/>
      <c r="E8" s="43"/>
      <c r="F8" s="46"/>
      <c r="G8" s="46"/>
      <c r="H8" s="46"/>
      <c r="I8" s="46"/>
      <c r="J8" s="47"/>
      <c r="K8" s="47"/>
      <c r="L8" s="45"/>
      <c r="M8" s="45"/>
    </row>
    <row r="9" spans="1:13" ht="11.1" customHeight="1" outlineLevel="1" x14ac:dyDescent="0.2">
      <c r="A9" s="48" t="s">
        <v>17</v>
      </c>
      <c r="B9" s="49" t="s">
        <v>18</v>
      </c>
      <c r="C9" s="50"/>
      <c r="D9" s="50"/>
      <c r="E9" s="48"/>
      <c r="F9" s="51"/>
      <c r="G9" s="51"/>
      <c r="H9" s="51"/>
      <c r="I9" s="51"/>
      <c r="J9" s="52"/>
      <c r="K9" s="52">
        <f>SUM($K$137,$K$127,$K$112,$K$51,$K$10)</f>
        <v>0</v>
      </c>
      <c r="L9" s="50"/>
      <c r="M9" s="50"/>
    </row>
    <row r="10" spans="1:13" ht="23.1" customHeight="1" outlineLevel="2" x14ac:dyDescent="0.2">
      <c r="A10" s="53" t="s">
        <v>19</v>
      </c>
      <c r="B10" s="54" t="s">
        <v>20</v>
      </c>
      <c r="C10" s="55"/>
      <c r="D10" s="55"/>
      <c r="E10" s="53"/>
      <c r="F10" s="56"/>
      <c r="G10" s="57"/>
      <c r="H10" s="57"/>
      <c r="I10" s="57"/>
      <c r="J10" s="58"/>
      <c r="K10" s="58">
        <f>SUM($K$11)</f>
        <v>0</v>
      </c>
      <c r="L10" s="59"/>
      <c r="M10" s="59"/>
    </row>
    <row r="11" spans="1:13" ht="23.1" customHeight="1" outlineLevel="3" x14ac:dyDescent="0.2">
      <c r="A11" s="53" t="s">
        <v>21</v>
      </c>
      <c r="B11" s="54" t="s">
        <v>22</v>
      </c>
      <c r="C11" s="55"/>
      <c r="D11" s="55"/>
      <c r="E11" s="53"/>
      <c r="F11" s="56"/>
      <c r="G11" s="57"/>
      <c r="H11" s="57"/>
      <c r="I11" s="57"/>
      <c r="J11" s="58"/>
      <c r="K11" s="58">
        <f>SUM($K$48,$K$46,$K$44,$K$42,$K$40,$K$38,$K$34,$K$32,$K$28,$K$26,$K$23,$K$21,$K$18,$K$16,$K$14,$K$12)</f>
        <v>0</v>
      </c>
      <c r="L11" s="59"/>
      <c r="M11" s="59"/>
    </row>
    <row r="12" spans="1:13" ht="11.1" customHeight="1" outlineLevel="4" x14ac:dyDescent="0.2">
      <c r="A12" s="60"/>
      <c r="B12" s="54" t="s">
        <v>23</v>
      </c>
      <c r="C12" s="61"/>
      <c r="D12" s="61"/>
      <c r="E12" s="61"/>
      <c r="F12" s="61"/>
      <c r="G12" s="61"/>
      <c r="H12" s="61"/>
      <c r="I12" s="61"/>
      <c r="J12" s="62"/>
      <c r="K12" s="63">
        <f>SUM($K$13)</f>
        <v>0</v>
      </c>
      <c r="L12" s="57"/>
      <c r="M12" s="57"/>
    </row>
    <row r="13" spans="1:13" ht="23.1" customHeight="1" outlineLevel="4" x14ac:dyDescent="0.2">
      <c r="A13" s="2"/>
      <c r="B13" s="3" t="s">
        <v>24</v>
      </c>
      <c r="C13" s="4"/>
      <c r="D13" s="4"/>
      <c r="E13" s="2" t="s">
        <v>25</v>
      </c>
      <c r="F13" s="64"/>
      <c r="G13" s="9">
        <v>488.4</v>
      </c>
      <c r="H13" s="6">
        <v>488.32</v>
      </c>
      <c r="I13" s="6">
        <f>SUM($G$13:$H$13)</f>
        <v>976.72</v>
      </c>
      <c r="J13" s="77">
        <f>VLOOKUP(B13,Работы!$B$3:$I$23,6,0)</f>
        <v>0</v>
      </c>
      <c r="K13" s="7">
        <f>ROUND($I$13*$J$13,2)</f>
        <v>0</v>
      </c>
      <c r="L13" s="4" t="s">
        <v>26</v>
      </c>
      <c r="M13" s="4"/>
    </row>
    <row r="14" spans="1:13" ht="11.1" customHeight="1" outlineLevel="4" x14ac:dyDescent="0.2">
      <c r="A14" s="60"/>
      <c r="B14" s="54" t="s">
        <v>27</v>
      </c>
      <c r="C14" s="61"/>
      <c r="D14" s="61"/>
      <c r="E14" s="61"/>
      <c r="F14" s="61"/>
      <c r="G14" s="61"/>
      <c r="H14" s="61"/>
      <c r="I14" s="61"/>
      <c r="J14" s="62"/>
      <c r="K14" s="63">
        <f>SUM($K$15)</f>
        <v>0</v>
      </c>
      <c r="L14" s="57"/>
      <c r="M14" s="57"/>
    </row>
    <row r="15" spans="1:13" ht="23.1" customHeight="1" outlineLevel="4" x14ac:dyDescent="0.2">
      <c r="A15" s="2" t="s">
        <v>28</v>
      </c>
      <c r="B15" s="3" t="s">
        <v>158</v>
      </c>
      <c r="C15" s="4" t="s">
        <v>29</v>
      </c>
      <c r="D15" s="4" t="s">
        <v>30</v>
      </c>
      <c r="E15" s="2" t="s">
        <v>31</v>
      </c>
      <c r="F15" s="5">
        <v>0.3</v>
      </c>
      <c r="G15" s="6">
        <f>G13*F15</f>
        <v>146.51999999999998</v>
      </c>
      <c r="H15" s="9">
        <f>H13*F15</f>
        <v>146.49599999999998</v>
      </c>
      <c r="I15" s="6">
        <f>SUM($G$15:$H$15)</f>
        <v>293.01599999999996</v>
      </c>
      <c r="J15" s="77">
        <f>VLOOKUP(B15,Материалы!$B$2:$K$37,8,0)</f>
        <v>0</v>
      </c>
      <c r="K15" s="7">
        <f>ROUND($I$15*$J$15,2)</f>
        <v>0</v>
      </c>
      <c r="L15" s="4" t="s">
        <v>29</v>
      </c>
      <c r="M15" s="4" t="s">
        <v>178</v>
      </c>
    </row>
    <row r="16" spans="1:13" ht="11.1" customHeight="1" outlineLevel="4" x14ac:dyDescent="0.2">
      <c r="A16" s="60"/>
      <c r="B16" s="54" t="s">
        <v>23</v>
      </c>
      <c r="C16" s="61"/>
      <c r="D16" s="61"/>
      <c r="E16" s="61"/>
      <c r="F16" s="61"/>
      <c r="G16" s="61"/>
      <c r="H16" s="61"/>
      <c r="I16" s="61"/>
      <c r="J16" s="62"/>
      <c r="K16" s="63">
        <f>SUM($K$17)</f>
        <v>0</v>
      </c>
      <c r="L16" s="57"/>
      <c r="M16" s="57"/>
    </row>
    <row r="17" spans="1:13" ht="35.1" customHeight="1" outlineLevel="4" x14ac:dyDescent="0.2">
      <c r="A17" s="2"/>
      <c r="B17" s="3" t="s">
        <v>32</v>
      </c>
      <c r="C17" s="4"/>
      <c r="D17" s="4"/>
      <c r="E17" s="2" t="s">
        <v>25</v>
      </c>
      <c r="F17" s="64"/>
      <c r="G17" s="6">
        <v>483.16</v>
      </c>
      <c r="H17" s="6">
        <v>488.32</v>
      </c>
      <c r="I17" s="6">
        <f>SUM($G$17:$H$17)</f>
        <v>971.48</v>
      </c>
      <c r="J17" s="77">
        <f>VLOOKUP(B17,Работы!$B$3:$I$23,6,0)</f>
        <v>0</v>
      </c>
      <c r="K17" s="7">
        <f>ROUND($I$17*$J$17,2)</f>
        <v>0</v>
      </c>
      <c r="L17" s="4"/>
      <c r="M17" s="4"/>
    </row>
    <row r="18" spans="1:13" ht="11.1" customHeight="1" outlineLevel="4" x14ac:dyDescent="0.2">
      <c r="A18" s="60"/>
      <c r="B18" s="54" t="s">
        <v>27</v>
      </c>
      <c r="C18" s="61"/>
      <c r="D18" s="61"/>
      <c r="E18" s="61"/>
      <c r="F18" s="61"/>
      <c r="G18" s="61"/>
      <c r="H18" s="61"/>
      <c r="I18" s="61"/>
      <c r="J18" s="62"/>
      <c r="K18" s="63">
        <f>SUM($K$19:$K$20)</f>
        <v>0</v>
      </c>
      <c r="L18" s="57"/>
      <c r="M18" s="57"/>
    </row>
    <row r="19" spans="1:13" ht="23.1" customHeight="1" outlineLevel="4" x14ac:dyDescent="0.2">
      <c r="A19" s="2" t="s">
        <v>28</v>
      </c>
      <c r="B19" s="3" t="s">
        <v>33</v>
      </c>
      <c r="C19" s="4" t="s">
        <v>34</v>
      </c>
      <c r="D19" s="4" t="s">
        <v>35</v>
      </c>
      <c r="E19" s="2" t="s">
        <v>25</v>
      </c>
      <c r="F19" s="5">
        <v>1.1000000000000001</v>
      </c>
      <c r="G19" s="65">
        <v>535</v>
      </c>
      <c r="H19" s="65">
        <v>540</v>
      </c>
      <c r="I19" s="66">
        <f>SUM($G$19:$H$19)</f>
        <v>1075</v>
      </c>
      <c r="J19" s="77">
        <f>VLOOKUP(B19,Материалы!$B$2:$K$37,8,0)</f>
        <v>0</v>
      </c>
      <c r="K19" s="7">
        <f>ROUND($I$19*$J$19,2)</f>
        <v>0</v>
      </c>
      <c r="L19" s="4" t="s">
        <v>34</v>
      </c>
      <c r="M19" s="4" t="s">
        <v>178</v>
      </c>
    </row>
    <row r="20" spans="1:13" ht="35.1" customHeight="1" outlineLevel="4" x14ac:dyDescent="0.2">
      <c r="A20" s="2" t="s">
        <v>36</v>
      </c>
      <c r="B20" s="3" t="s">
        <v>161</v>
      </c>
      <c r="C20" s="4" t="s">
        <v>37</v>
      </c>
      <c r="D20" s="4" t="s">
        <v>38</v>
      </c>
      <c r="E20" s="2" t="s">
        <v>39</v>
      </c>
      <c r="F20" s="64"/>
      <c r="G20" s="65">
        <v>13</v>
      </c>
      <c r="H20" s="65">
        <v>14</v>
      </c>
      <c r="I20" s="65">
        <f>SUM($G$20:$H$20)</f>
        <v>27</v>
      </c>
      <c r="J20" s="77">
        <f>VLOOKUP(B20,Материалы!$B$2:$K$37,8,0)</f>
        <v>0</v>
      </c>
      <c r="K20" s="7">
        <f>ROUND($I$20*$J$20,2)</f>
        <v>0</v>
      </c>
      <c r="L20" s="4" t="s">
        <v>37</v>
      </c>
      <c r="M20" s="4" t="s">
        <v>178</v>
      </c>
    </row>
    <row r="21" spans="1:13" ht="11.1" customHeight="1" outlineLevel="4" x14ac:dyDescent="0.2">
      <c r="A21" s="60"/>
      <c r="B21" s="54" t="s">
        <v>23</v>
      </c>
      <c r="C21" s="61"/>
      <c r="D21" s="61"/>
      <c r="E21" s="61"/>
      <c r="F21" s="61"/>
      <c r="G21" s="61"/>
      <c r="H21" s="61"/>
      <c r="I21" s="61"/>
      <c r="J21" s="62"/>
      <c r="K21" s="63">
        <f>SUM($K$22)</f>
        <v>0</v>
      </c>
      <c r="L21" s="57"/>
      <c r="M21" s="57"/>
    </row>
    <row r="22" spans="1:13" ht="11.1" customHeight="1" outlineLevel="4" x14ac:dyDescent="0.2">
      <c r="A22" s="2"/>
      <c r="B22" s="3" t="s">
        <v>40</v>
      </c>
      <c r="C22" s="4"/>
      <c r="D22" s="4"/>
      <c r="E22" s="2" t="s">
        <v>25</v>
      </c>
      <c r="F22" s="64"/>
      <c r="G22" s="6">
        <v>483.16</v>
      </c>
      <c r="H22" s="6">
        <v>488.32</v>
      </c>
      <c r="I22" s="6">
        <f>SUM($G$22:$H$22)</f>
        <v>971.48</v>
      </c>
      <c r="J22" s="77">
        <f>VLOOKUP(B22,Работы!$B$3:$I$23,6,0)</f>
        <v>0</v>
      </c>
      <c r="K22" s="7">
        <f>ROUND($I$22*$J$22,2)</f>
        <v>0</v>
      </c>
      <c r="L22" s="4"/>
      <c r="M22" s="4"/>
    </row>
    <row r="23" spans="1:13" ht="11.1" customHeight="1" outlineLevel="4" x14ac:dyDescent="0.2">
      <c r="A23" s="60"/>
      <c r="B23" s="54" t="s">
        <v>27</v>
      </c>
      <c r="C23" s="61"/>
      <c r="D23" s="61"/>
      <c r="E23" s="61"/>
      <c r="F23" s="61"/>
      <c r="G23" s="61"/>
      <c r="H23" s="61"/>
      <c r="I23" s="61"/>
      <c r="J23" s="62"/>
      <c r="K23" s="63">
        <f>SUM($K$24:$K$25)</f>
        <v>0</v>
      </c>
      <c r="L23" s="57"/>
      <c r="M23" s="57"/>
    </row>
    <row r="24" spans="1:13" ht="35.1" customHeight="1" outlineLevel="4" x14ac:dyDescent="0.2">
      <c r="A24" s="2" t="s">
        <v>28</v>
      </c>
      <c r="B24" s="3" t="s">
        <v>175</v>
      </c>
      <c r="C24" s="4"/>
      <c r="D24" s="4" t="s">
        <v>41</v>
      </c>
      <c r="E24" s="2" t="s">
        <v>42</v>
      </c>
      <c r="F24" s="5">
        <v>1.03</v>
      </c>
      <c r="G24" s="6">
        <v>99.53</v>
      </c>
      <c r="H24" s="6">
        <v>100.59</v>
      </c>
      <c r="I24" s="6">
        <f>SUM($G$24:$H$24)</f>
        <v>200.12</v>
      </c>
      <c r="J24" s="77">
        <f>VLOOKUP(B24,Материалы!$B$2:$K$37,8,0)</f>
        <v>0</v>
      </c>
      <c r="K24" s="7">
        <f>ROUND($I$24*$J$24,2)</f>
        <v>0</v>
      </c>
      <c r="L24" s="4" t="s">
        <v>43</v>
      </c>
      <c r="M24" s="4" t="s">
        <v>178</v>
      </c>
    </row>
    <row r="25" spans="1:13" ht="11.1" customHeight="1" outlineLevel="4" x14ac:dyDescent="0.2">
      <c r="A25" s="2" t="s">
        <v>36</v>
      </c>
      <c r="B25" s="3" t="s">
        <v>159</v>
      </c>
      <c r="C25" s="4"/>
      <c r="D25" s="4" t="s">
        <v>44</v>
      </c>
      <c r="E25" s="2" t="s">
        <v>45</v>
      </c>
      <c r="F25" s="64"/>
      <c r="G25" s="65">
        <v>19</v>
      </c>
      <c r="H25" s="65">
        <v>20</v>
      </c>
      <c r="I25" s="65">
        <f>SUM($G$25:$H$25)</f>
        <v>39</v>
      </c>
      <c r="J25" s="77">
        <f>VLOOKUP(B25,Материалы!$B$2:$K$37,8,0)</f>
        <v>0</v>
      </c>
      <c r="K25" s="7">
        <f>ROUND($I$25*$J$25,2)</f>
        <v>0</v>
      </c>
      <c r="L25" s="4"/>
      <c r="M25" s="4" t="s">
        <v>178</v>
      </c>
    </row>
    <row r="26" spans="1:13" ht="11.1" customHeight="1" outlineLevel="4" x14ac:dyDescent="0.2">
      <c r="A26" s="60"/>
      <c r="B26" s="54" t="s">
        <v>23</v>
      </c>
      <c r="C26" s="61"/>
      <c r="D26" s="61"/>
      <c r="E26" s="61"/>
      <c r="F26" s="61"/>
      <c r="G26" s="61"/>
      <c r="H26" s="61"/>
      <c r="I26" s="61"/>
      <c r="J26" s="62"/>
      <c r="K26" s="63">
        <f>SUM($K$27)</f>
        <v>0</v>
      </c>
      <c r="L26" s="57"/>
      <c r="M26" s="57"/>
    </row>
    <row r="27" spans="1:13" ht="23.1" customHeight="1" outlineLevel="4" x14ac:dyDescent="0.2">
      <c r="A27" s="2"/>
      <c r="B27" s="3" t="s">
        <v>46</v>
      </c>
      <c r="C27" s="4"/>
      <c r="D27" s="4"/>
      <c r="E27" s="2" t="s">
        <v>25</v>
      </c>
      <c r="F27" s="64"/>
      <c r="G27" s="9">
        <v>488.4</v>
      </c>
      <c r="H27" s="6">
        <v>488.32</v>
      </c>
      <c r="I27" s="6">
        <f>SUM($G$27:$H$27)</f>
        <v>976.72</v>
      </c>
      <c r="J27" s="77">
        <f>VLOOKUP(B27,Работы!$B$3:$I$23,6,0)</f>
        <v>0</v>
      </c>
      <c r="K27" s="7">
        <f>ROUND($I$27*$J$27,2)</f>
        <v>0</v>
      </c>
      <c r="L27" s="4"/>
      <c r="M27" s="4"/>
    </row>
    <row r="28" spans="1:13" ht="11.1" customHeight="1" outlineLevel="4" x14ac:dyDescent="0.2">
      <c r="A28" s="60"/>
      <c r="B28" s="54" t="s">
        <v>27</v>
      </c>
      <c r="C28" s="61"/>
      <c r="D28" s="61"/>
      <c r="E28" s="61"/>
      <c r="F28" s="61"/>
      <c r="G28" s="61"/>
      <c r="H28" s="61"/>
      <c r="I28" s="61"/>
      <c r="J28" s="62"/>
      <c r="K28" s="63">
        <f>SUM($K$29:$K$31)</f>
        <v>0</v>
      </c>
      <c r="L28" s="57"/>
      <c r="M28" s="57"/>
    </row>
    <row r="29" spans="1:13" ht="11.1" customHeight="1" outlineLevel="4" x14ac:dyDescent="0.2">
      <c r="A29" s="2" t="s">
        <v>28</v>
      </c>
      <c r="B29" s="3" t="s">
        <v>150</v>
      </c>
      <c r="C29" s="4"/>
      <c r="D29" s="4" t="s">
        <v>47</v>
      </c>
      <c r="E29" s="2" t="s">
        <v>25</v>
      </c>
      <c r="F29" s="5">
        <v>1.1399999999999999</v>
      </c>
      <c r="G29" s="6">
        <v>556.77</v>
      </c>
      <c r="H29" s="6">
        <v>556.67999999999995</v>
      </c>
      <c r="I29" s="7">
        <f>SUM($G$29:$H$29)</f>
        <v>1113.4499999999998</v>
      </c>
      <c r="J29" s="77">
        <f>VLOOKUP(B29,Материалы!$B$2:$K$37,8,0)</f>
        <v>0</v>
      </c>
      <c r="K29" s="7">
        <f>ROUND($I$29*$J$29,2)</f>
        <v>0</v>
      </c>
      <c r="L29" s="4"/>
      <c r="M29" s="4" t="s">
        <v>178</v>
      </c>
    </row>
    <row r="30" spans="1:13" ht="11.1" customHeight="1" outlineLevel="4" x14ac:dyDescent="0.2">
      <c r="A30" s="2" t="s">
        <v>36</v>
      </c>
      <c r="B30" s="3" t="s">
        <v>151</v>
      </c>
      <c r="C30" s="4"/>
      <c r="D30" s="4" t="s">
        <v>48</v>
      </c>
      <c r="E30" s="2" t="s">
        <v>25</v>
      </c>
      <c r="F30" s="5">
        <v>1.1599999999999999</v>
      </c>
      <c r="G30" s="6">
        <v>566.54</v>
      </c>
      <c r="H30" s="6">
        <v>566.45000000000005</v>
      </c>
      <c r="I30" s="7">
        <f>SUM($G$30:$H$30)</f>
        <v>1132.99</v>
      </c>
      <c r="J30" s="77">
        <f>VLOOKUP(B30,Материалы!$B$2:$K$37,8,0)</f>
        <v>0</v>
      </c>
      <c r="K30" s="7">
        <f>ROUND($I$30*$J$30,2)</f>
        <v>0</v>
      </c>
      <c r="L30" s="4"/>
      <c r="M30" s="4" t="s">
        <v>178</v>
      </c>
    </row>
    <row r="31" spans="1:13" ht="11.1" customHeight="1" outlineLevel="4" x14ac:dyDescent="0.2">
      <c r="A31" s="2" t="s">
        <v>49</v>
      </c>
      <c r="B31" s="3" t="s">
        <v>50</v>
      </c>
      <c r="C31" s="4"/>
      <c r="D31" s="4"/>
      <c r="E31" s="2" t="s">
        <v>31</v>
      </c>
      <c r="F31" s="5">
        <v>0.94</v>
      </c>
      <c r="G31" s="6">
        <v>459.09</v>
      </c>
      <c r="H31" s="6">
        <v>459.02</v>
      </c>
      <c r="I31" s="6">
        <f>SUM($G$31:$H$31)</f>
        <v>918.1099999999999</v>
      </c>
      <c r="J31" s="77">
        <f>VLOOKUP(B31,Материалы!$B$2:$K$37,8,0)</f>
        <v>0</v>
      </c>
      <c r="K31" s="7">
        <f>ROUND($I$31*$J$31,2)</f>
        <v>0</v>
      </c>
      <c r="L31" s="4"/>
      <c r="M31" s="4" t="s">
        <v>178</v>
      </c>
    </row>
    <row r="32" spans="1:13" ht="11.1" customHeight="1" outlineLevel="4" x14ac:dyDescent="0.2">
      <c r="A32" s="60"/>
      <c r="B32" s="54" t="s">
        <v>23</v>
      </c>
      <c r="C32" s="61"/>
      <c r="D32" s="61"/>
      <c r="E32" s="61"/>
      <c r="F32" s="61"/>
      <c r="G32" s="61"/>
      <c r="H32" s="61"/>
      <c r="I32" s="61"/>
      <c r="J32" s="62"/>
      <c r="K32" s="63">
        <f>SUM($K$33)</f>
        <v>0</v>
      </c>
      <c r="L32" s="57"/>
      <c r="M32" s="57"/>
    </row>
    <row r="33" spans="1:13" ht="35.1" customHeight="1" outlineLevel="4" x14ac:dyDescent="0.2">
      <c r="A33" s="2"/>
      <c r="B33" s="3" t="s">
        <v>51</v>
      </c>
      <c r="C33" s="4"/>
      <c r="D33" s="4"/>
      <c r="E33" s="2" t="s">
        <v>25</v>
      </c>
      <c r="F33" s="64"/>
      <c r="G33" s="6">
        <v>483.16</v>
      </c>
      <c r="H33" s="6">
        <v>488.32</v>
      </c>
      <c r="I33" s="6">
        <f>SUM($G$33:$H$33)</f>
        <v>971.48</v>
      </c>
      <c r="J33" s="77">
        <f>VLOOKUP(B33,Работы!$B$3:$I$23,6,0)</f>
        <v>0</v>
      </c>
      <c r="K33" s="7">
        <f>ROUND($I$33*$J$33,2)</f>
        <v>0</v>
      </c>
      <c r="L33" s="4"/>
      <c r="M33" s="4"/>
    </row>
    <row r="34" spans="1:13" ht="11.1" customHeight="1" outlineLevel="4" x14ac:dyDescent="0.2">
      <c r="A34" s="60"/>
      <c r="B34" s="54" t="s">
        <v>27</v>
      </c>
      <c r="C34" s="61"/>
      <c r="D34" s="61"/>
      <c r="E34" s="61"/>
      <c r="F34" s="61"/>
      <c r="G34" s="61"/>
      <c r="H34" s="61"/>
      <c r="I34" s="61"/>
      <c r="J34" s="62"/>
      <c r="K34" s="63">
        <f>SUM($K$35:$K$37)</f>
        <v>0</v>
      </c>
      <c r="L34" s="57"/>
      <c r="M34" s="57"/>
    </row>
    <row r="35" spans="1:13" s="15" customFormat="1" ht="11.1" customHeight="1" outlineLevel="4" x14ac:dyDescent="0.2">
      <c r="A35" s="10" t="s">
        <v>28</v>
      </c>
      <c r="B35" s="11" t="s">
        <v>176</v>
      </c>
      <c r="C35" s="12"/>
      <c r="D35" s="12" t="s">
        <v>53</v>
      </c>
      <c r="E35" s="10" t="s">
        <v>25</v>
      </c>
      <c r="F35" s="13">
        <v>2.0499999999999998</v>
      </c>
      <c r="G35" s="14">
        <f>G33*F35</f>
        <v>990.47799999999995</v>
      </c>
      <c r="H35" s="14">
        <v>1025.47</v>
      </c>
      <c r="I35" s="14">
        <f>SUM($G$35:$H$35)</f>
        <v>2015.9479999999999</v>
      </c>
      <c r="J35" s="77">
        <f>VLOOKUP(B35,Материалы!$B$2:$K$37,8,0)</f>
        <v>0</v>
      </c>
      <c r="K35" s="14">
        <f>ROUND($I$35*$J$35,2)</f>
        <v>0</v>
      </c>
      <c r="L35" s="12" t="s">
        <v>54</v>
      </c>
      <c r="M35" s="4" t="s">
        <v>178</v>
      </c>
    </row>
    <row r="36" spans="1:13" s="15" customFormat="1" ht="35.1" customHeight="1" outlineLevel="4" x14ac:dyDescent="0.2">
      <c r="A36" s="10" t="s">
        <v>36</v>
      </c>
      <c r="B36" s="11" t="s">
        <v>55</v>
      </c>
      <c r="C36" s="12"/>
      <c r="D36" s="12" t="s">
        <v>56</v>
      </c>
      <c r="E36" s="10" t="s">
        <v>39</v>
      </c>
      <c r="F36" s="13">
        <v>4</v>
      </c>
      <c r="G36" s="67">
        <v>1934</v>
      </c>
      <c r="H36" s="67">
        <v>1954</v>
      </c>
      <c r="I36" s="67">
        <f>SUM($G$36:$H$36)</f>
        <v>3888</v>
      </c>
      <c r="J36" s="77">
        <f>VLOOKUP(B36,Материалы!$B$2:$K$37,8,0)</f>
        <v>0</v>
      </c>
      <c r="K36" s="14">
        <f>ROUND($I$36*$J$36,2)</f>
        <v>0</v>
      </c>
      <c r="L36" s="12"/>
      <c r="M36" s="4" t="s">
        <v>178</v>
      </c>
    </row>
    <row r="37" spans="1:13" s="15" customFormat="1" ht="11.1" customHeight="1" outlineLevel="4" x14ac:dyDescent="0.2">
      <c r="A37" s="10" t="s">
        <v>49</v>
      </c>
      <c r="B37" s="11" t="s">
        <v>160</v>
      </c>
      <c r="C37" s="12"/>
      <c r="D37" s="12" t="s">
        <v>57</v>
      </c>
      <c r="E37" s="10" t="s">
        <v>39</v>
      </c>
      <c r="F37" s="13">
        <v>5</v>
      </c>
      <c r="G37" s="67">
        <v>2416</v>
      </c>
      <c r="H37" s="67">
        <v>2442</v>
      </c>
      <c r="I37" s="67">
        <f>SUM($G$37:$H$37)</f>
        <v>4858</v>
      </c>
      <c r="J37" s="77">
        <f>VLOOKUP(B37,Материалы!$B$2:$K$37,8,0)</f>
        <v>0</v>
      </c>
      <c r="K37" s="14">
        <f>ROUND($I$37*$J$37,2)</f>
        <v>0</v>
      </c>
      <c r="L37" s="12"/>
      <c r="M37" s="4" t="s">
        <v>178</v>
      </c>
    </row>
    <row r="38" spans="1:13" ht="11.1" customHeight="1" outlineLevel="4" x14ac:dyDescent="0.2">
      <c r="A38" s="60"/>
      <c r="B38" s="54" t="s">
        <v>23</v>
      </c>
      <c r="C38" s="61"/>
      <c r="D38" s="61"/>
      <c r="E38" s="61"/>
      <c r="F38" s="61"/>
      <c r="G38" s="61"/>
      <c r="H38" s="61"/>
      <c r="I38" s="61"/>
      <c r="J38" s="62"/>
      <c r="K38" s="63">
        <f>SUM($K$39)</f>
        <v>0</v>
      </c>
      <c r="L38" s="57"/>
      <c r="M38" s="57"/>
    </row>
    <row r="39" spans="1:13" ht="23.1" customHeight="1" outlineLevel="4" x14ac:dyDescent="0.2">
      <c r="A39" s="2"/>
      <c r="B39" s="3" t="s">
        <v>58</v>
      </c>
      <c r="C39" s="4"/>
      <c r="D39" s="4"/>
      <c r="E39" s="2" t="s">
        <v>25</v>
      </c>
      <c r="F39" s="64"/>
      <c r="G39" s="6">
        <v>483.16</v>
      </c>
      <c r="H39" s="6">
        <v>488.32</v>
      </c>
      <c r="I39" s="6">
        <f>SUM($G$39:$H$39)</f>
        <v>971.48</v>
      </c>
      <c r="J39" s="77">
        <f>VLOOKUP(B39,Работы!$B$3:$I$23,6,0)</f>
        <v>0</v>
      </c>
      <c r="K39" s="7">
        <f>ROUND($I$39*$J$39,2)</f>
        <v>0</v>
      </c>
      <c r="L39" s="4" t="s">
        <v>59</v>
      </c>
      <c r="M39" s="4"/>
    </row>
    <row r="40" spans="1:13" ht="11.1" customHeight="1" outlineLevel="4" x14ac:dyDescent="0.2">
      <c r="A40" s="60"/>
      <c r="B40" s="54" t="s">
        <v>27</v>
      </c>
      <c r="C40" s="61"/>
      <c r="D40" s="61"/>
      <c r="E40" s="61"/>
      <c r="F40" s="61"/>
      <c r="G40" s="61"/>
      <c r="H40" s="61"/>
      <c r="I40" s="61"/>
      <c r="J40" s="62"/>
      <c r="K40" s="63">
        <f>SUM($K$41)</f>
        <v>0</v>
      </c>
      <c r="L40" s="57"/>
      <c r="M40" s="57"/>
    </row>
    <row r="41" spans="1:13" ht="11.1" customHeight="1" outlineLevel="4" x14ac:dyDescent="0.2">
      <c r="A41" s="2" t="s">
        <v>28</v>
      </c>
      <c r="B41" s="3" t="s">
        <v>60</v>
      </c>
      <c r="C41" s="4"/>
      <c r="D41" s="4" t="s">
        <v>61</v>
      </c>
      <c r="E41" s="2" t="s">
        <v>42</v>
      </c>
      <c r="F41" s="5">
        <v>1.05</v>
      </c>
      <c r="G41" s="6">
        <v>93.01</v>
      </c>
      <c r="H41" s="65">
        <v>94</v>
      </c>
      <c r="I41" s="6">
        <f>SUM($G$41:$H$41)</f>
        <v>187.01</v>
      </c>
      <c r="J41" s="77">
        <f>VLOOKUP(B41,Материалы!$B$2:$K$37,8,0)</f>
        <v>0</v>
      </c>
      <c r="K41" s="7">
        <f>ROUND($I$41*$J$41,2)</f>
        <v>0</v>
      </c>
      <c r="L41" s="4"/>
      <c r="M41" s="4" t="s">
        <v>178</v>
      </c>
    </row>
    <row r="42" spans="1:13" ht="11.1" customHeight="1" outlineLevel="4" x14ac:dyDescent="0.2">
      <c r="A42" s="60"/>
      <c r="B42" s="54" t="s">
        <v>23</v>
      </c>
      <c r="C42" s="61"/>
      <c r="D42" s="61"/>
      <c r="E42" s="61"/>
      <c r="F42" s="61"/>
      <c r="G42" s="61"/>
      <c r="H42" s="61"/>
      <c r="I42" s="61"/>
      <c r="J42" s="62"/>
      <c r="K42" s="63">
        <f>SUM($K$43)</f>
        <v>0</v>
      </c>
      <c r="L42" s="57"/>
      <c r="M42" s="57"/>
    </row>
    <row r="43" spans="1:13" ht="35.1" customHeight="1" outlineLevel="4" x14ac:dyDescent="0.2">
      <c r="A43" s="2"/>
      <c r="B43" s="3" t="s">
        <v>62</v>
      </c>
      <c r="C43" s="4"/>
      <c r="D43" s="4"/>
      <c r="E43" s="2" t="s">
        <v>25</v>
      </c>
      <c r="F43" s="64"/>
      <c r="G43" s="6">
        <v>2.4900000000000002</v>
      </c>
      <c r="H43" s="64"/>
      <c r="I43" s="6">
        <f>SUM($G$43:$H$43)</f>
        <v>2.4900000000000002</v>
      </c>
      <c r="J43" s="77">
        <f>VLOOKUP(B43,Работы!$B$3:$I$23,6,0)</f>
        <v>0</v>
      </c>
      <c r="K43" s="7">
        <f>ROUND($I$43*$J$43,2)</f>
        <v>0</v>
      </c>
      <c r="L43" s="4"/>
      <c r="M43" s="4"/>
    </row>
    <row r="44" spans="1:13" ht="11.1" customHeight="1" outlineLevel="4" x14ac:dyDescent="0.2">
      <c r="A44" s="60"/>
      <c r="B44" s="54" t="s">
        <v>27</v>
      </c>
      <c r="C44" s="61"/>
      <c r="D44" s="61"/>
      <c r="E44" s="61"/>
      <c r="F44" s="61"/>
      <c r="G44" s="61"/>
      <c r="H44" s="61"/>
      <c r="I44" s="61"/>
      <c r="J44" s="62"/>
      <c r="K44" s="63">
        <f>SUM($K$45)</f>
        <v>0</v>
      </c>
      <c r="L44" s="57"/>
      <c r="M44" s="57"/>
    </row>
    <row r="45" spans="1:13" s="15" customFormat="1" ht="23.1" customHeight="1" outlineLevel="4" x14ac:dyDescent="0.2">
      <c r="A45" s="10" t="s">
        <v>28</v>
      </c>
      <c r="B45" s="11" t="s">
        <v>63</v>
      </c>
      <c r="C45" s="12"/>
      <c r="D45" s="12" t="s">
        <v>64</v>
      </c>
      <c r="E45" s="10" t="s">
        <v>42</v>
      </c>
      <c r="F45" s="13">
        <v>1.1000000000000001</v>
      </c>
      <c r="G45" s="17">
        <v>0.2</v>
      </c>
      <c r="H45" s="68"/>
      <c r="I45" s="17">
        <f>SUM($G$45:$H$45)</f>
        <v>0.2</v>
      </c>
      <c r="J45" s="77">
        <f>VLOOKUP(B45,Материалы!$B$2:$K$37,8,0)</f>
        <v>0</v>
      </c>
      <c r="K45" s="14">
        <f>ROUND($I$45*$J$45,2)</f>
        <v>0</v>
      </c>
      <c r="L45" s="12"/>
      <c r="M45" s="4" t="s">
        <v>178</v>
      </c>
    </row>
    <row r="46" spans="1:13" ht="11.1" customHeight="1" outlineLevel="4" x14ac:dyDescent="0.2">
      <c r="A46" s="60"/>
      <c r="B46" s="54" t="s">
        <v>23</v>
      </c>
      <c r="C46" s="61"/>
      <c r="D46" s="61"/>
      <c r="E46" s="61"/>
      <c r="F46" s="61"/>
      <c r="G46" s="61"/>
      <c r="H46" s="61"/>
      <c r="I46" s="61"/>
      <c r="J46" s="62"/>
      <c r="K46" s="63">
        <f>SUM($K$47)</f>
        <v>0</v>
      </c>
      <c r="L46" s="57"/>
      <c r="M46" s="57"/>
    </row>
    <row r="47" spans="1:13" ht="11.1" customHeight="1" outlineLevel="4" x14ac:dyDescent="0.2">
      <c r="A47" s="2"/>
      <c r="B47" s="3" t="s">
        <v>65</v>
      </c>
      <c r="C47" s="4"/>
      <c r="D47" s="4"/>
      <c r="E47" s="2" t="s">
        <v>25</v>
      </c>
      <c r="F47" s="64"/>
      <c r="G47" s="6">
        <v>137.99</v>
      </c>
      <c r="H47" s="6">
        <v>124.19</v>
      </c>
      <c r="I47" s="6">
        <f>SUM($G$47:$H$47)</f>
        <v>262.18</v>
      </c>
      <c r="J47" s="77">
        <f>VLOOKUP(B47,Работы!$B$3:$I$23,6,0)</f>
        <v>0</v>
      </c>
      <c r="K47" s="7">
        <f>ROUND($I$47*$J$47,2)</f>
        <v>0</v>
      </c>
      <c r="L47" s="4"/>
      <c r="M47" s="4"/>
    </row>
    <row r="48" spans="1:13" ht="11.1" customHeight="1" outlineLevel="4" x14ac:dyDescent="0.2">
      <c r="A48" s="60"/>
      <c r="B48" s="54" t="s">
        <v>27</v>
      </c>
      <c r="C48" s="61"/>
      <c r="D48" s="61"/>
      <c r="E48" s="61"/>
      <c r="F48" s="61"/>
      <c r="G48" s="61"/>
      <c r="H48" s="61"/>
      <c r="I48" s="61"/>
      <c r="J48" s="62"/>
      <c r="K48" s="63">
        <f>SUM($K$49:$K$50)</f>
        <v>0</v>
      </c>
      <c r="L48" s="57"/>
      <c r="M48" s="57"/>
    </row>
    <row r="49" spans="1:13" ht="47.1" customHeight="1" outlineLevel="4" x14ac:dyDescent="0.2">
      <c r="A49" s="2" t="s">
        <v>28</v>
      </c>
      <c r="B49" s="3" t="s">
        <v>154</v>
      </c>
      <c r="C49" s="4"/>
      <c r="D49" s="4" t="s">
        <v>66</v>
      </c>
      <c r="E49" s="2" t="s">
        <v>39</v>
      </c>
      <c r="F49" s="5">
        <v>7</v>
      </c>
      <c r="G49" s="65">
        <v>970</v>
      </c>
      <c r="H49" s="65">
        <v>870</v>
      </c>
      <c r="I49" s="66">
        <f>SUM($G$49:$H$49)</f>
        <v>1840</v>
      </c>
      <c r="J49" s="77">
        <f>VLOOKUP(B49,Материалы!$B$2:$K$37,8,0)</f>
        <v>0</v>
      </c>
      <c r="K49" s="7">
        <f>ROUND($I$49*$J$49,2)</f>
        <v>0</v>
      </c>
      <c r="L49" s="4"/>
      <c r="M49" s="4" t="s">
        <v>178</v>
      </c>
    </row>
    <row r="50" spans="1:13" ht="11.1" customHeight="1" outlineLevel="4" x14ac:dyDescent="0.2">
      <c r="A50" s="2" t="s">
        <v>36</v>
      </c>
      <c r="B50" s="3" t="s">
        <v>152</v>
      </c>
      <c r="C50" s="4"/>
      <c r="D50" s="4" t="s">
        <v>67</v>
      </c>
      <c r="E50" s="2" t="s">
        <v>42</v>
      </c>
      <c r="F50" s="5">
        <v>1.07</v>
      </c>
      <c r="G50" s="6">
        <v>14.77</v>
      </c>
      <c r="H50" s="6">
        <v>13.29</v>
      </c>
      <c r="I50" s="6">
        <f>SUM($G$50:$H$50)</f>
        <v>28.06</v>
      </c>
      <c r="J50" s="77">
        <f>VLOOKUP(B50,Материалы!$B$2:$K$37,8,0)</f>
        <v>0</v>
      </c>
      <c r="K50" s="7">
        <f>ROUND($I$50*$J$50,2)</f>
        <v>0</v>
      </c>
      <c r="L50" s="4"/>
      <c r="M50" s="4" t="s">
        <v>178</v>
      </c>
    </row>
    <row r="51" spans="1:13" ht="23.1" customHeight="1" outlineLevel="2" x14ac:dyDescent="0.2">
      <c r="A51" s="53" t="s">
        <v>68</v>
      </c>
      <c r="B51" s="54" t="s">
        <v>69</v>
      </c>
      <c r="C51" s="55"/>
      <c r="D51" s="55"/>
      <c r="E51" s="53"/>
      <c r="F51" s="56"/>
      <c r="G51" s="57"/>
      <c r="H51" s="57"/>
      <c r="I51" s="57"/>
      <c r="J51" s="58"/>
      <c r="K51" s="58">
        <f>SUM($K$52)</f>
        <v>0</v>
      </c>
      <c r="L51" s="59"/>
      <c r="M51" s="59"/>
    </row>
    <row r="52" spans="1:13" ht="23.1" customHeight="1" outlineLevel="3" x14ac:dyDescent="0.2">
      <c r="A52" s="53" t="s">
        <v>70</v>
      </c>
      <c r="B52" s="54" t="s">
        <v>69</v>
      </c>
      <c r="C52" s="55"/>
      <c r="D52" s="55"/>
      <c r="E52" s="53"/>
      <c r="F52" s="56"/>
      <c r="G52" s="57"/>
      <c r="H52" s="57"/>
      <c r="I52" s="57"/>
      <c r="J52" s="58"/>
      <c r="K52" s="58">
        <f>SUM($K$110,$K$108,$K$105,$K$103,$K$96,$K$94,$K$90,$K$88,$K$85,$K$83,$K$76,$K$74,$K$72,$K$70,$K$66,$K$64,$K$61,$K$59,$K$55,$K$53)</f>
        <v>0</v>
      </c>
      <c r="L52" s="59"/>
      <c r="M52" s="59"/>
    </row>
    <row r="53" spans="1:13" ht="11.1" customHeight="1" outlineLevel="4" x14ac:dyDescent="0.2">
      <c r="A53" s="60"/>
      <c r="B53" s="54" t="s">
        <v>23</v>
      </c>
      <c r="C53" s="61"/>
      <c r="D53" s="61"/>
      <c r="E53" s="61"/>
      <c r="F53" s="61"/>
      <c r="G53" s="61"/>
      <c r="H53" s="61"/>
      <c r="I53" s="61"/>
      <c r="J53" s="62"/>
      <c r="K53" s="63">
        <f>SUM($K$54)</f>
        <v>0</v>
      </c>
      <c r="L53" s="57"/>
      <c r="M53" s="57"/>
    </row>
    <row r="54" spans="1:13" ht="23.1" customHeight="1" outlineLevel="4" x14ac:dyDescent="0.2">
      <c r="A54" s="2"/>
      <c r="B54" s="3" t="s">
        <v>71</v>
      </c>
      <c r="C54" s="4"/>
      <c r="D54" s="4"/>
      <c r="E54" s="2" t="s">
        <v>72</v>
      </c>
      <c r="F54" s="64"/>
      <c r="G54" s="6">
        <v>96.43</v>
      </c>
      <c r="H54" s="6">
        <v>103.89</v>
      </c>
      <c r="I54" s="6">
        <f>SUM($G$54:$H$54)</f>
        <v>200.32</v>
      </c>
      <c r="J54" s="77">
        <f>VLOOKUP(B54,Работы!$B$3:$I$23,6,0)</f>
        <v>0</v>
      </c>
      <c r="K54" s="7">
        <f>ROUND($I$54*$J$54,2)</f>
        <v>0</v>
      </c>
      <c r="L54" s="4"/>
      <c r="M54" s="4"/>
    </row>
    <row r="55" spans="1:13" ht="11.1" customHeight="1" outlineLevel="4" x14ac:dyDescent="0.2">
      <c r="A55" s="60"/>
      <c r="B55" s="54" t="s">
        <v>27</v>
      </c>
      <c r="C55" s="61"/>
      <c r="D55" s="61"/>
      <c r="E55" s="61"/>
      <c r="F55" s="61"/>
      <c r="G55" s="61"/>
      <c r="H55" s="61"/>
      <c r="I55" s="61"/>
      <c r="J55" s="62"/>
      <c r="K55" s="63">
        <f>SUM($K$56:$K$58)</f>
        <v>0</v>
      </c>
      <c r="L55" s="57"/>
      <c r="M55" s="57"/>
    </row>
    <row r="56" spans="1:13" ht="23.1" customHeight="1" outlineLevel="4" x14ac:dyDescent="0.2">
      <c r="A56" s="2" t="s">
        <v>28</v>
      </c>
      <c r="B56" s="3" t="s">
        <v>155</v>
      </c>
      <c r="C56" s="4"/>
      <c r="D56" s="4" t="s">
        <v>73</v>
      </c>
      <c r="E56" s="2" t="s">
        <v>72</v>
      </c>
      <c r="F56" s="5">
        <v>1.07</v>
      </c>
      <c r="G56" s="6">
        <v>103.18</v>
      </c>
      <c r="H56" s="6">
        <v>111.16</v>
      </c>
      <c r="I56" s="6">
        <f>SUM($G$56:$H$56)</f>
        <v>214.34</v>
      </c>
      <c r="J56" s="77">
        <f>VLOOKUP(B56,Материалы!$B$2:$K$37,8,0)</f>
        <v>0</v>
      </c>
      <c r="K56" s="7">
        <f>ROUND($I$56*$J$56,2)</f>
        <v>0</v>
      </c>
      <c r="L56" s="4"/>
      <c r="M56" s="4" t="s">
        <v>178</v>
      </c>
    </row>
    <row r="57" spans="1:13" ht="11.1" customHeight="1" outlineLevel="4" x14ac:dyDescent="0.2">
      <c r="A57" s="2" t="s">
        <v>36</v>
      </c>
      <c r="B57" s="3" t="s">
        <v>156</v>
      </c>
      <c r="C57" s="4"/>
      <c r="D57" s="4" t="s">
        <v>74</v>
      </c>
      <c r="E57" s="2" t="s">
        <v>75</v>
      </c>
      <c r="F57" s="64"/>
      <c r="G57" s="65">
        <v>5</v>
      </c>
      <c r="H57" s="65">
        <v>6</v>
      </c>
      <c r="I57" s="65">
        <f>SUM($G$57:$H$57)</f>
        <v>11</v>
      </c>
      <c r="J57" s="77">
        <f>VLOOKUP(B57,Материалы!$B$2:$K$37,8,0)</f>
        <v>0</v>
      </c>
      <c r="K57" s="7">
        <f>ROUND($I$57*$J$57,2)</f>
        <v>0</v>
      </c>
      <c r="L57" s="4"/>
      <c r="M57" s="4" t="s">
        <v>178</v>
      </c>
    </row>
    <row r="58" spans="1:13" ht="11.1" customHeight="1" outlineLevel="4" x14ac:dyDescent="0.2">
      <c r="A58" s="2" t="s">
        <v>49</v>
      </c>
      <c r="B58" s="3" t="s">
        <v>157</v>
      </c>
      <c r="C58" s="4"/>
      <c r="D58" s="4" t="s">
        <v>76</v>
      </c>
      <c r="E58" s="2" t="s">
        <v>39</v>
      </c>
      <c r="F58" s="64"/>
      <c r="G58" s="65">
        <v>520</v>
      </c>
      <c r="H58" s="65">
        <v>560</v>
      </c>
      <c r="I58" s="66">
        <f>SUM($G$58:$H$58)</f>
        <v>1080</v>
      </c>
      <c r="J58" s="77">
        <f>VLOOKUP(B58,Материалы!$B$2:$K$37,8,0)</f>
        <v>0</v>
      </c>
      <c r="K58" s="7">
        <f>ROUND($I$58*$J$58,2)</f>
        <v>0</v>
      </c>
      <c r="L58" s="4"/>
      <c r="M58" s="4" t="s">
        <v>178</v>
      </c>
    </row>
    <row r="59" spans="1:13" ht="11.1" customHeight="1" outlineLevel="4" x14ac:dyDescent="0.2">
      <c r="A59" s="60"/>
      <c r="B59" s="54" t="s">
        <v>23</v>
      </c>
      <c r="C59" s="61"/>
      <c r="D59" s="61"/>
      <c r="E59" s="61"/>
      <c r="F59" s="61"/>
      <c r="G59" s="61"/>
      <c r="H59" s="61"/>
      <c r="I59" s="61"/>
      <c r="J59" s="62"/>
      <c r="K59" s="63">
        <f>SUM($K$60)</f>
        <v>0</v>
      </c>
      <c r="L59" s="57"/>
      <c r="M59" s="57"/>
    </row>
    <row r="60" spans="1:13" ht="23.1" customHeight="1" outlineLevel="4" x14ac:dyDescent="0.2">
      <c r="A60" s="2"/>
      <c r="B60" s="3" t="s">
        <v>77</v>
      </c>
      <c r="C60" s="4"/>
      <c r="D60" s="4"/>
      <c r="E60" s="2" t="s">
        <v>25</v>
      </c>
      <c r="F60" s="64"/>
      <c r="G60" s="6">
        <v>152.66999999999999</v>
      </c>
      <c r="H60" s="6">
        <v>184.25</v>
      </c>
      <c r="I60" s="6">
        <f>SUM($G$60:$H$60)</f>
        <v>336.91999999999996</v>
      </c>
      <c r="J60" s="77">
        <f>VLOOKUP(B60,Работы!$B$3:$I$23,6,0)</f>
        <v>0</v>
      </c>
      <c r="K60" s="7">
        <f>ROUND($I$60*$J$60,2)</f>
        <v>0</v>
      </c>
      <c r="L60" s="4"/>
      <c r="M60" s="4"/>
    </row>
    <row r="61" spans="1:13" ht="11.1" customHeight="1" outlineLevel="4" x14ac:dyDescent="0.2">
      <c r="A61" s="60"/>
      <c r="B61" s="54" t="s">
        <v>27</v>
      </c>
      <c r="C61" s="61"/>
      <c r="D61" s="61"/>
      <c r="E61" s="61"/>
      <c r="F61" s="61"/>
      <c r="G61" s="61"/>
      <c r="H61" s="61"/>
      <c r="I61" s="61"/>
      <c r="J61" s="62"/>
      <c r="K61" s="63">
        <f>SUM($K$62:$K$63)</f>
        <v>0</v>
      </c>
      <c r="L61" s="57"/>
      <c r="M61" s="57"/>
    </row>
    <row r="62" spans="1:13" ht="47.1" customHeight="1" outlineLevel="4" x14ac:dyDescent="0.2">
      <c r="A62" s="2" t="s">
        <v>28</v>
      </c>
      <c r="B62" s="3" t="s">
        <v>154</v>
      </c>
      <c r="C62" s="4"/>
      <c r="D62" s="4" t="s">
        <v>66</v>
      </c>
      <c r="E62" s="2" t="s">
        <v>39</v>
      </c>
      <c r="F62" s="5">
        <v>7</v>
      </c>
      <c r="G62" s="66">
        <v>1070</v>
      </c>
      <c r="H62" s="66">
        <v>1290</v>
      </c>
      <c r="I62" s="66">
        <f>SUM($G$62:$H$62)</f>
        <v>2360</v>
      </c>
      <c r="J62" s="77">
        <f>VLOOKUP(B62,Материалы!$B$2:$K$37,8,0)</f>
        <v>0</v>
      </c>
      <c r="K62" s="7">
        <f>ROUND($I$62*$J$62,2)</f>
        <v>0</v>
      </c>
      <c r="L62" s="4"/>
      <c r="M62" s="4" t="s">
        <v>178</v>
      </c>
    </row>
    <row r="63" spans="1:13" ht="11.1" customHeight="1" outlineLevel="4" x14ac:dyDescent="0.2">
      <c r="A63" s="2" t="s">
        <v>36</v>
      </c>
      <c r="B63" s="3" t="s">
        <v>152</v>
      </c>
      <c r="C63" s="4"/>
      <c r="D63" s="4" t="s">
        <v>67</v>
      </c>
      <c r="E63" s="2" t="s">
        <v>42</v>
      </c>
      <c r="F63" s="5">
        <v>1.07</v>
      </c>
      <c r="G63" s="6">
        <v>16.34</v>
      </c>
      <c r="H63" s="6">
        <v>19.72</v>
      </c>
      <c r="I63" s="6">
        <f>SUM($G$63:$H$63)</f>
        <v>36.06</v>
      </c>
      <c r="J63" s="77">
        <f>VLOOKUP(B63,Материалы!$B$2:$K$37,8,0)</f>
        <v>0</v>
      </c>
      <c r="K63" s="7">
        <f>ROUND($I$63*$J$63,2)</f>
        <v>0</v>
      </c>
      <c r="L63" s="4"/>
      <c r="M63" s="4" t="s">
        <v>178</v>
      </c>
    </row>
    <row r="64" spans="1:13" ht="11.1" customHeight="1" outlineLevel="4" x14ac:dyDescent="0.2">
      <c r="A64" s="60"/>
      <c r="B64" s="54" t="s">
        <v>23</v>
      </c>
      <c r="C64" s="61"/>
      <c r="D64" s="61"/>
      <c r="E64" s="61"/>
      <c r="F64" s="61"/>
      <c r="G64" s="61"/>
      <c r="H64" s="61"/>
      <c r="I64" s="61"/>
      <c r="J64" s="62"/>
      <c r="K64" s="63">
        <f>SUM($K$65)</f>
        <v>0</v>
      </c>
      <c r="L64" s="57"/>
      <c r="M64" s="57"/>
    </row>
    <row r="65" spans="1:13" ht="23.1" customHeight="1" outlineLevel="4" x14ac:dyDescent="0.2">
      <c r="A65" s="2"/>
      <c r="B65" s="3" t="s">
        <v>78</v>
      </c>
      <c r="C65" s="4"/>
      <c r="D65" s="4"/>
      <c r="E65" s="2" t="s">
        <v>25</v>
      </c>
      <c r="F65" s="64"/>
      <c r="G65" s="6">
        <v>39.67</v>
      </c>
      <c r="H65" s="9">
        <v>38.299999999999997</v>
      </c>
      <c r="I65" s="6">
        <f>SUM($G$65:$H$65)</f>
        <v>77.97</v>
      </c>
      <c r="J65" s="77">
        <f>VLOOKUP(B65,Работы!$B$3:$I$23,6,0)</f>
        <v>0</v>
      </c>
      <c r="K65" s="7">
        <f>ROUND($I$65*$J$65,2)</f>
        <v>0</v>
      </c>
      <c r="L65" s="4" t="s">
        <v>79</v>
      </c>
      <c r="M65" s="4"/>
    </row>
    <row r="66" spans="1:13" ht="11.1" customHeight="1" outlineLevel="4" x14ac:dyDescent="0.2">
      <c r="A66" s="60"/>
      <c r="B66" s="54" t="s">
        <v>27</v>
      </c>
      <c r="C66" s="61"/>
      <c r="D66" s="61"/>
      <c r="E66" s="61"/>
      <c r="F66" s="61"/>
      <c r="G66" s="61"/>
      <c r="H66" s="61"/>
      <c r="I66" s="61"/>
      <c r="J66" s="62"/>
      <c r="K66" s="63">
        <f>SUM($K$67:$K$69)</f>
        <v>0</v>
      </c>
      <c r="L66" s="57"/>
      <c r="M66" s="57"/>
    </row>
    <row r="67" spans="1:13" ht="47.1" customHeight="1" outlineLevel="4" x14ac:dyDescent="0.2">
      <c r="A67" s="2" t="s">
        <v>28</v>
      </c>
      <c r="B67" s="3" t="s">
        <v>162</v>
      </c>
      <c r="C67" s="4"/>
      <c r="D67" s="4" t="s">
        <v>80</v>
      </c>
      <c r="E67" s="2" t="s">
        <v>39</v>
      </c>
      <c r="F67" s="5">
        <v>7</v>
      </c>
      <c r="G67" s="65">
        <v>285</v>
      </c>
      <c r="H67" s="65">
        <v>270</v>
      </c>
      <c r="I67" s="65">
        <f>SUM($G$67:$H$67)</f>
        <v>555</v>
      </c>
      <c r="J67" s="77">
        <f>VLOOKUP(B67,Материалы!$B$2:$K$37,8,0)</f>
        <v>0</v>
      </c>
      <c r="K67" s="7">
        <f>ROUND($I$67*$J$67,2)</f>
        <v>0</v>
      </c>
      <c r="L67" s="4"/>
      <c r="M67" s="4" t="s">
        <v>178</v>
      </c>
    </row>
    <row r="68" spans="1:13" ht="11.1" customHeight="1" outlineLevel="4" x14ac:dyDescent="0.2">
      <c r="A68" s="2" t="s">
        <v>36</v>
      </c>
      <c r="B68" s="3" t="s">
        <v>153</v>
      </c>
      <c r="C68" s="4"/>
      <c r="D68" s="4" t="s">
        <v>81</v>
      </c>
      <c r="E68" s="2" t="s">
        <v>42</v>
      </c>
      <c r="F68" s="5">
        <v>1.07</v>
      </c>
      <c r="G68" s="6">
        <v>6.37</v>
      </c>
      <c r="H68" s="6">
        <v>6.15</v>
      </c>
      <c r="I68" s="6">
        <f>SUM($G$68:$H$68)</f>
        <v>12.52</v>
      </c>
      <c r="J68" s="77">
        <f>VLOOKUP(B68,Материалы!$B$2:$K$37,8,0)</f>
        <v>0</v>
      </c>
      <c r="K68" s="7">
        <f>ROUND($I$68*$J$68,2)</f>
        <v>0</v>
      </c>
      <c r="L68" s="4"/>
      <c r="M68" s="4" t="s">
        <v>178</v>
      </c>
    </row>
    <row r="69" spans="1:13" s="15" customFormat="1" ht="11.1" customHeight="1" outlineLevel="4" x14ac:dyDescent="0.2">
      <c r="A69" s="10" t="s">
        <v>49</v>
      </c>
      <c r="B69" s="11" t="s">
        <v>159</v>
      </c>
      <c r="C69" s="12"/>
      <c r="D69" s="12" t="s">
        <v>44</v>
      </c>
      <c r="E69" s="10" t="s">
        <v>45</v>
      </c>
      <c r="F69" s="68"/>
      <c r="G69" s="69">
        <v>3</v>
      </c>
      <c r="H69" s="68"/>
      <c r="I69" s="69">
        <f>SUM($G$69:$H$69)</f>
        <v>3</v>
      </c>
      <c r="J69" s="77">
        <f>VLOOKUP(B69,Материалы!$B$2:$K$37,8,0)</f>
        <v>0</v>
      </c>
      <c r="K69" s="14">
        <f>ROUND($I$69*$J$69,2)</f>
        <v>0</v>
      </c>
      <c r="L69" s="12"/>
      <c r="M69" s="4" t="s">
        <v>178</v>
      </c>
    </row>
    <row r="70" spans="1:13" ht="11.1" customHeight="1" outlineLevel="4" x14ac:dyDescent="0.2">
      <c r="A70" s="60"/>
      <c r="B70" s="54" t="s">
        <v>23</v>
      </c>
      <c r="C70" s="61"/>
      <c r="D70" s="61"/>
      <c r="E70" s="61"/>
      <c r="F70" s="61"/>
      <c r="G70" s="61"/>
      <c r="H70" s="61"/>
      <c r="I70" s="61"/>
      <c r="J70" s="62"/>
      <c r="K70" s="63">
        <f>SUM($K$71)</f>
        <v>0</v>
      </c>
      <c r="L70" s="57"/>
      <c r="M70" s="57"/>
    </row>
    <row r="71" spans="1:13" ht="23.1" customHeight="1" outlineLevel="4" x14ac:dyDescent="0.2">
      <c r="A71" s="2"/>
      <c r="B71" s="3" t="s">
        <v>24</v>
      </c>
      <c r="C71" s="4"/>
      <c r="D71" s="4"/>
      <c r="E71" s="2" t="s">
        <v>25</v>
      </c>
      <c r="F71" s="64"/>
      <c r="G71" s="6">
        <v>550.66999999999996</v>
      </c>
      <c r="H71" s="9">
        <v>580.6</v>
      </c>
      <c r="I71" s="7">
        <f>SUM($G$71:$H$71)</f>
        <v>1131.27</v>
      </c>
      <c r="J71" s="77">
        <f>VLOOKUP(B71,Работы!$B$3:$I$23,6,0)</f>
        <v>0</v>
      </c>
      <c r="K71" s="7">
        <f>ROUND($I$71*$J$71,2)</f>
        <v>0</v>
      </c>
      <c r="L71" s="4" t="s">
        <v>26</v>
      </c>
      <c r="M71" s="4"/>
    </row>
    <row r="72" spans="1:13" ht="11.1" customHeight="1" outlineLevel="4" x14ac:dyDescent="0.2">
      <c r="A72" s="60"/>
      <c r="B72" s="54" t="s">
        <v>27</v>
      </c>
      <c r="C72" s="61"/>
      <c r="D72" s="61"/>
      <c r="E72" s="61"/>
      <c r="F72" s="61"/>
      <c r="G72" s="61"/>
      <c r="H72" s="61"/>
      <c r="I72" s="61"/>
      <c r="J72" s="62"/>
      <c r="K72" s="63">
        <f>SUM($K$73)</f>
        <v>0</v>
      </c>
      <c r="L72" s="57"/>
      <c r="M72" s="57"/>
    </row>
    <row r="73" spans="1:13" ht="23.1" customHeight="1" outlineLevel="4" x14ac:dyDescent="0.2">
      <c r="A73" s="2" t="s">
        <v>28</v>
      </c>
      <c r="B73" s="3" t="s">
        <v>158</v>
      </c>
      <c r="C73" s="4" t="s">
        <v>29</v>
      </c>
      <c r="D73" s="4" t="s">
        <v>30</v>
      </c>
      <c r="E73" s="2" t="s">
        <v>31</v>
      </c>
      <c r="F73" s="5">
        <v>0.3</v>
      </c>
      <c r="G73" s="9">
        <v>165.2</v>
      </c>
      <c r="H73" s="6">
        <v>174.18</v>
      </c>
      <c r="I73" s="6">
        <f>SUM($G$73:$H$73)</f>
        <v>339.38</v>
      </c>
      <c r="J73" s="77">
        <f>VLOOKUP(B73,Материалы!$B$2:$K$37,8,0)</f>
        <v>0</v>
      </c>
      <c r="K73" s="7">
        <f>ROUND($I$73*$J$73,2)</f>
        <v>0</v>
      </c>
      <c r="L73" s="4" t="s">
        <v>29</v>
      </c>
      <c r="M73" s="4" t="s">
        <v>178</v>
      </c>
    </row>
    <row r="74" spans="1:13" ht="11.1" customHeight="1" outlineLevel="4" x14ac:dyDescent="0.2">
      <c r="A74" s="60"/>
      <c r="B74" s="54" t="s">
        <v>23</v>
      </c>
      <c r="C74" s="61"/>
      <c r="D74" s="61"/>
      <c r="E74" s="61"/>
      <c r="F74" s="61"/>
      <c r="G74" s="61"/>
      <c r="H74" s="61"/>
      <c r="I74" s="61"/>
      <c r="J74" s="62"/>
      <c r="K74" s="63">
        <f>SUM($K$75)</f>
        <v>0</v>
      </c>
      <c r="L74" s="57"/>
      <c r="M74" s="57"/>
    </row>
    <row r="75" spans="1:13" ht="23.1" customHeight="1" outlineLevel="4" x14ac:dyDescent="0.2">
      <c r="A75" s="2"/>
      <c r="B75" s="3" t="s">
        <v>82</v>
      </c>
      <c r="C75" s="4"/>
      <c r="D75" s="4"/>
      <c r="E75" s="2" t="s">
        <v>25</v>
      </c>
      <c r="F75" s="64"/>
      <c r="G75" s="6">
        <v>375.52</v>
      </c>
      <c r="H75" s="6">
        <v>395.95</v>
      </c>
      <c r="I75" s="6">
        <f>SUM($G$75:$H$75)</f>
        <v>771.47</v>
      </c>
      <c r="J75" s="77">
        <f>VLOOKUP(B75,Работы!$B$3:$I$23,6,0)</f>
        <v>0</v>
      </c>
      <c r="K75" s="7">
        <f>ROUND($I$75*$J$75,2)</f>
        <v>0</v>
      </c>
      <c r="L75" s="4" t="s">
        <v>83</v>
      </c>
      <c r="M75" s="4"/>
    </row>
    <row r="76" spans="1:13" ht="11.1" customHeight="1" outlineLevel="4" x14ac:dyDescent="0.2">
      <c r="A76" s="60"/>
      <c r="B76" s="54" t="s">
        <v>27</v>
      </c>
      <c r="C76" s="61"/>
      <c r="D76" s="61"/>
      <c r="E76" s="61"/>
      <c r="F76" s="61"/>
      <c r="G76" s="61"/>
      <c r="H76" s="61"/>
      <c r="I76" s="61"/>
      <c r="J76" s="62"/>
      <c r="K76" s="63">
        <f>SUM($K$77:$K$82)</f>
        <v>0</v>
      </c>
      <c r="L76" s="57"/>
      <c r="M76" s="57"/>
    </row>
    <row r="77" spans="1:13" ht="35.1" customHeight="1" outlineLevel="4" x14ac:dyDescent="0.2">
      <c r="A77" s="2" t="s">
        <v>28</v>
      </c>
      <c r="B77" s="3" t="s">
        <v>163</v>
      </c>
      <c r="C77" s="4"/>
      <c r="D77" s="4" t="s">
        <v>84</v>
      </c>
      <c r="E77" s="2" t="s">
        <v>39</v>
      </c>
      <c r="F77" s="64"/>
      <c r="G77" s="65">
        <v>150</v>
      </c>
      <c r="H77" s="65">
        <v>130</v>
      </c>
      <c r="I77" s="65">
        <f>SUM($G$77:$H$77)</f>
        <v>280</v>
      </c>
      <c r="J77" s="77">
        <f>VLOOKUP(B77,Материалы!$B$2:$K$37,8,0)</f>
        <v>0</v>
      </c>
      <c r="K77" s="7">
        <f>ROUND($I$77*$J$77,2)</f>
        <v>0</v>
      </c>
      <c r="L77" s="4"/>
      <c r="M77" s="4" t="s">
        <v>178</v>
      </c>
    </row>
    <row r="78" spans="1:13" ht="35.1" customHeight="1" outlineLevel="4" x14ac:dyDescent="0.2">
      <c r="A78" s="2" t="s">
        <v>36</v>
      </c>
      <c r="B78" s="3" t="s">
        <v>164</v>
      </c>
      <c r="C78" s="4"/>
      <c r="D78" s="4" t="s">
        <v>85</v>
      </c>
      <c r="E78" s="2" t="s">
        <v>39</v>
      </c>
      <c r="F78" s="64"/>
      <c r="G78" s="66">
        <v>2300</v>
      </c>
      <c r="H78" s="66">
        <v>2410</v>
      </c>
      <c r="I78" s="66">
        <f>SUM($G$78:$H$78)</f>
        <v>4710</v>
      </c>
      <c r="J78" s="77">
        <f>VLOOKUP(B78,Материалы!$B$2:$K$37,8,0)</f>
        <v>0</v>
      </c>
      <c r="K78" s="7">
        <f>ROUND($I$78*$J$78,2)</f>
        <v>0</v>
      </c>
      <c r="L78" s="4"/>
      <c r="M78" s="4" t="s">
        <v>178</v>
      </c>
    </row>
    <row r="79" spans="1:13" s="15" customFormat="1" ht="11.1" customHeight="1" outlineLevel="4" x14ac:dyDescent="0.2">
      <c r="A79" s="10" t="s">
        <v>49</v>
      </c>
      <c r="B79" s="11" t="s">
        <v>52</v>
      </c>
      <c r="C79" s="12"/>
      <c r="D79" s="12" t="s">
        <v>53</v>
      </c>
      <c r="E79" s="10" t="s">
        <v>25</v>
      </c>
      <c r="F79" s="13">
        <v>2.0499999999999998</v>
      </c>
      <c r="G79" s="16">
        <f>G75*F79</f>
        <v>769.81599999999992</v>
      </c>
      <c r="H79" s="17">
        <v>831.5</v>
      </c>
      <c r="I79" s="14">
        <f>SUM($G$79:$H$79)</f>
        <v>1601.3159999999998</v>
      </c>
      <c r="J79" s="77">
        <f>VLOOKUP(B79,Материалы!$B$2:$K$37,8,0)</f>
        <v>0</v>
      </c>
      <c r="K79" s="14">
        <f>ROUND($I$79*$J$79,2)</f>
        <v>0</v>
      </c>
      <c r="L79" s="12" t="s">
        <v>54</v>
      </c>
      <c r="M79" s="4" t="s">
        <v>178</v>
      </c>
    </row>
    <row r="80" spans="1:13" ht="35.1" customHeight="1" outlineLevel="4" x14ac:dyDescent="0.2">
      <c r="A80" s="2" t="s">
        <v>86</v>
      </c>
      <c r="B80" s="3" t="s">
        <v>165</v>
      </c>
      <c r="C80" s="4"/>
      <c r="D80" s="4" t="s">
        <v>87</v>
      </c>
      <c r="E80" s="2" t="s">
        <v>42</v>
      </c>
      <c r="F80" s="5">
        <v>1.05</v>
      </c>
      <c r="G80" s="6">
        <v>3.62</v>
      </c>
      <c r="H80" s="6">
        <v>3.79</v>
      </c>
      <c r="I80" s="6">
        <f>SUM($G$80:$H$80)</f>
        <v>7.41</v>
      </c>
      <c r="J80" s="77">
        <f>VLOOKUP(B80,Материалы!$B$2:$K$37,8,0)</f>
        <v>0</v>
      </c>
      <c r="K80" s="7">
        <f>ROUND($I$80*$J$80,2)</f>
        <v>0</v>
      </c>
      <c r="L80" s="4"/>
      <c r="M80" s="4" t="s">
        <v>178</v>
      </c>
    </row>
    <row r="81" spans="1:13" ht="35.1" customHeight="1" outlineLevel="4" x14ac:dyDescent="0.2">
      <c r="A81" s="2" t="s">
        <v>88</v>
      </c>
      <c r="B81" s="3" t="s">
        <v>166</v>
      </c>
      <c r="C81" s="4"/>
      <c r="D81" s="4" t="s">
        <v>89</v>
      </c>
      <c r="E81" s="2" t="s">
        <v>42</v>
      </c>
      <c r="F81" s="5">
        <v>1.05</v>
      </c>
      <c r="G81" s="6">
        <v>0.23</v>
      </c>
      <c r="H81" s="9">
        <v>0.2</v>
      </c>
      <c r="I81" s="6">
        <f>SUM($G$81:$H$81)</f>
        <v>0.43000000000000005</v>
      </c>
      <c r="J81" s="77">
        <f>VLOOKUP(B81,Материалы!$B$2:$K$37,8,0)</f>
        <v>0</v>
      </c>
      <c r="K81" s="7">
        <f>ROUND($I$81*$J$81,2)</f>
        <v>0</v>
      </c>
      <c r="L81" s="4"/>
      <c r="M81" s="4" t="s">
        <v>178</v>
      </c>
    </row>
    <row r="82" spans="1:13" ht="11.1" customHeight="1" outlineLevel="4" x14ac:dyDescent="0.2">
      <c r="A82" s="2" t="s">
        <v>90</v>
      </c>
      <c r="B82" s="3" t="s">
        <v>160</v>
      </c>
      <c r="C82" s="4"/>
      <c r="D82" s="4" t="s">
        <v>57</v>
      </c>
      <c r="E82" s="2" t="s">
        <v>39</v>
      </c>
      <c r="F82" s="64"/>
      <c r="G82" s="66">
        <v>2852</v>
      </c>
      <c r="H82" s="66">
        <v>2841</v>
      </c>
      <c r="I82" s="66">
        <f>SUM($G$82:$H$82)</f>
        <v>5693</v>
      </c>
      <c r="J82" s="77">
        <f>VLOOKUP(B82,Материалы!$B$2:$K$37,8,0)</f>
        <v>0</v>
      </c>
      <c r="K82" s="7">
        <f>ROUND($I$82*$J$82,2)</f>
        <v>0</v>
      </c>
      <c r="L82" s="4"/>
      <c r="M82" s="4" t="s">
        <v>178</v>
      </c>
    </row>
    <row r="83" spans="1:13" ht="11.1" customHeight="1" outlineLevel="4" x14ac:dyDescent="0.2">
      <c r="A83" s="60"/>
      <c r="B83" s="54" t="s">
        <v>23</v>
      </c>
      <c r="C83" s="61"/>
      <c r="D83" s="61"/>
      <c r="E83" s="61"/>
      <c r="F83" s="61"/>
      <c r="G83" s="61"/>
      <c r="H83" s="61"/>
      <c r="I83" s="61"/>
      <c r="J83" s="62"/>
      <c r="K83" s="63">
        <f>SUM($K$84)</f>
        <v>0</v>
      </c>
      <c r="L83" s="57"/>
      <c r="M83" s="57"/>
    </row>
    <row r="84" spans="1:13" ht="23.1" customHeight="1" outlineLevel="4" x14ac:dyDescent="0.2">
      <c r="A84" s="2"/>
      <c r="B84" s="3" t="s">
        <v>91</v>
      </c>
      <c r="C84" s="4"/>
      <c r="D84" s="4"/>
      <c r="E84" s="2" t="s">
        <v>25</v>
      </c>
      <c r="F84" s="64"/>
      <c r="G84" s="6">
        <v>92.55</v>
      </c>
      <c r="H84" s="6">
        <v>94.22</v>
      </c>
      <c r="I84" s="6">
        <f>SUM($G$84:$H$84)</f>
        <v>186.76999999999998</v>
      </c>
      <c r="J84" s="77">
        <f>VLOOKUP(B84,Работы!$B$3:$I$23,6,0)</f>
        <v>0</v>
      </c>
      <c r="K84" s="7">
        <f>ROUND($I$84*$J$84,2)</f>
        <v>0</v>
      </c>
      <c r="L84" s="4" t="s">
        <v>92</v>
      </c>
      <c r="M84" s="4"/>
    </row>
    <row r="85" spans="1:13" ht="11.1" customHeight="1" outlineLevel="4" x14ac:dyDescent="0.2">
      <c r="A85" s="60"/>
      <c r="B85" s="54" t="s">
        <v>27</v>
      </c>
      <c r="C85" s="61"/>
      <c r="D85" s="61"/>
      <c r="E85" s="61"/>
      <c r="F85" s="61"/>
      <c r="G85" s="61"/>
      <c r="H85" s="61"/>
      <c r="I85" s="61"/>
      <c r="J85" s="62"/>
      <c r="K85" s="63">
        <f>SUM($K$86:$K$87)</f>
        <v>0</v>
      </c>
      <c r="L85" s="57"/>
      <c r="M85" s="57"/>
    </row>
    <row r="86" spans="1:13" s="15" customFormat="1" ht="11.1" customHeight="1" outlineLevel="4" x14ac:dyDescent="0.2">
      <c r="A86" s="10" t="s">
        <v>28</v>
      </c>
      <c r="B86" s="11" t="s">
        <v>151</v>
      </c>
      <c r="C86" s="12"/>
      <c r="D86" s="12" t="s">
        <v>48</v>
      </c>
      <c r="E86" s="10" t="s">
        <v>25</v>
      </c>
      <c r="F86" s="13">
        <v>1.1000000000000001</v>
      </c>
      <c r="G86" s="69">
        <v>105</v>
      </c>
      <c r="H86" s="69">
        <v>105</v>
      </c>
      <c r="I86" s="69">
        <f>SUM($G$86:$H$86)</f>
        <v>210</v>
      </c>
      <c r="J86" s="77">
        <f>VLOOKUP(B86,Материалы!$B$2:$K$37,8,0)</f>
        <v>0</v>
      </c>
      <c r="K86" s="14">
        <f>ROUND($I$86*$J$86,2)</f>
        <v>0</v>
      </c>
      <c r="L86" s="12"/>
      <c r="M86" s="4" t="s">
        <v>178</v>
      </c>
    </row>
    <row r="87" spans="1:13" s="15" customFormat="1" ht="11.1" customHeight="1" outlineLevel="4" x14ac:dyDescent="0.2">
      <c r="A87" s="10" t="s">
        <v>36</v>
      </c>
      <c r="B87" s="11" t="s">
        <v>50</v>
      </c>
      <c r="C87" s="12"/>
      <c r="D87" s="12"/>
      <c r="E87" s="10" t="s">
        <v>31</v>
      </c>
      <c r="F87" s="13">
        <v>0.47</v>
      </c>
      <c r="G87" s="17">
        <v>43.5</v>
      </c>
      <c r="H87" s="16">
        <v>44.29</v>
      </c>
      <c r="I87" s="16">
        <f>SUM($G$87:$H$87)</f>
        <v>87.789999999999992</v>
      </c>
      <c r="J87" s="77">
        <f>VLOOKUP(B87,Материалы!$B$2:$K$37,8,0)</f>
        <v>0</v>
      </c>
      <c r="K87" s="14">
        <f>ROUND($I$87*$J$87,2)</f>
        <v>0</v>
      </c>
      <c r="L87" s="12"/>
      <c r="M87" s="4" t="s">
        <v>178</v>
      </c>
    </row>
    <row r="88" spans="1:13" ht="11.1" customHeight="1" outlineLevel="4" x14ac:dyDescent="0.2">
      <c r="A88" s="60"/>
      <c r="B88" s="54" t="s">
        <v>23</v>
      </c>
      <c r="C88" s="61"/>
      <c r="D88" s="61"/>
      <c r="E88" s="61"/>
      <c r="F88" s="61"/>
      <c r="G88" s="61"/>
      <c r="H88" s="61"/>
      <c r="I88" s="61"/>
      <c r="J88" s="62"/>
      <c r="K88" s="63">
        <f>SUM($K$89)</f>
        <v>0</v>
      </c>
      <c r="L88" s="57"/>
      <c r="M88" s="57"/>
    </row>
    <row r="89" spans="1:13" ht="23.1" customHeight="1" outlineLevel="4" x14ac:dyDescent="0.2">
      <c r="A89" s="2"/>
      <c r="B89" s="3" t="s">
        <v>93</v>
      </c>
      <c r="C89" s="4"/>
      <c r="D89" s="4"/>
      <c r="E89" s="2" t="s">
        <v>25</v>
      </c>
      <c r="F89" s="64"/>
      <c r="G89" s="6">
        <v>35.630000000000003</v>
      </c>
      <c r="H89" s="9">
        <v>36.4</v>
      </c>
      <c r="I89" s="6">
        <f>SUM($G$89:$H$89)</f>
        <v>72.03</v>
      </c>
      <c r="J89" s="77">
        <f>VLOOKUP(B89,Работы!$B$3:$I$23,6,0)</f>
        <v>0</v>
      </c>
      <c r="K89" s="7">
        <f>ROUND($I$89*$J$89,2)</f>
        <v>0</v>
      </c>
      <c r="L89" s="4"/>
      <c r="M89" s="4"/>
    </row>
    <row r="90" spans="1:13" ht="11.1" customHeight="1" outlineLevel="4" x14ac:dyDescent="0.2">
      <c r="A90" s="60"/>
      <c r="B90" s="54" t="s">
        <v>27</v>
      </c>
      <c r="C90" s="61"/>
      <c r="D90" s="61"/>
      <c r="E90" s="61"/>
      <c r="F90" s="61"/>
      <c r="G90" s="61"/>
      <c r="H90" s="61"/>
      <c r="I90" s="61"/>
      <c r="J90" s="62"/>
      <c r="K90" s="63">
        <f>SUM($K$91:$K$93)</f>
        <v>0</v>
      </c>
      <c r="L90" s="57"/>
      <c r="M90" s="57"/>
    </row>
    <row r="91" spans="1:13" ht="11.1" customHeight="1" outlineLevel="4" x14ac:dyDescent="0.2">
      <c r="A91" s="2" t="s">
        <v>28</v>
      </c>
      <c r="B91" s="3" t="s">
        <v>176</v>
      </c>
      <c r="C91" s="4"/>
      <c r="D91" s="4" t="s">
        <v>53</v>
      </c>
      <c r="E91" s="2" t="s">
        <v>25</v>
      </c>
      <c r="F91" s="5">
        <v>1.05</v>
      </c>
      <c r="G91" s="6">
        <v>37.409999999999997</v>
      </c>
      <c r="H91" s="6">
        <v>38.22</v>
      </c>
      <c r="I91" s="6">
        <f>SUM($G$91:$H$91)</f>
        <v>75.63</v>
      </c>
      <c r="J91" s="77">
        <f>VLOOKUP(B91,Материалы!$B$2:$K$37,8,0)</f>
        <v>0</v>
      </c>
      <c r="K91" s="7">
        <f>ROUND($I$91*$J$91,2)</f>
        <v>0</v>
      </c>
      <c r="L91" s="4"/>
      <c r="M91" s="4" t="s">
        <v>178</v>
      </c>
    </row>
    <row r="92" spans="1:13" ht="22.5" outlineLevel="4" x14ac:dyDescent="0.2">
      <c r="A92" s="2" t="s">
        <v>36</v>
      </c>
      <c r="B92" s="3" t="s">
        <v>160</v>
      </c>
      <c r="C92" s="4"/>
      <c r="D92" s="4" t="s">
        <v>57</v>
      </c>
      <c r="E92" s="2" t="s">
        <v>39</v>
      </c>
      <c r="F92" s="64"/>
      <c r="G92" s="65">
        <v>422</v>
      </c>
      <c r="H92" s="65">
        <v>465</v>
      </c>
      <c r="I92" s="65">
        <f>SUM($G$92:$H$92)</f>
        <v>887</v>
      </c>
      <c r="J92" s="77">
        <f>VLOOKUP(B92,Материалы!$B$2:$K$37,8,0)</f>
        <v>0</v>
      </c>
      <c r="K92" s="7">
        <f>ROUND($I$92*$J$92,2)</f>
        <v>0</v>
      </c>
      <c r="L92" s="4" t="s">
        <v>94</v>
      </c>
      <c r="M92" s="4" t="s">
        <v>178</v>
      </c>
    </row>
    <row r="93" spans="1:13" ht="23.1" customHeight="1" outlineLevel="4" x14ac:dyDescent="0.2">
      <c r="A93" s="2" t="s">
        <v>49</v>
      </c>
      <c r="B93" s="3" t="s">
        <v>157</v>
      </c>
      <c r="C93" s="4"/>
      <c r="D93" s="4" t="s">
        <v>76</v>
      </c>
      <c r="E93" s="2" t="s">
        <v>39</v>
      </c>
      <c r="F93" s="64"/>
      <c r="G93" s="65">
        <v>394</v>
      </c>
      <c r="H93" s="65">
        <v>343</v>
      </c>
      <c r="I93" s="65">
        <f>SUM($G$93:$H$93)</f>
        <v>737</v>
      </c>
      <c r="J93" s="77">
        <f>VLOOKUP(B93,Материалы!$B$2:$K$37,8,0)</f>
        <v>0</v>
      </c>
      <c r="K93" s="7">
        <f>ROUND($I$93*$J$93,2)</f>
        <v>0</v>
      </c>
      <c r="L93" s="4" t="s">
        <v>95</v>
      </c>
      <c r="M93" s="4" t="s">
        <v>178</v>
      </c>
    </row>
    <row r="94" spans="1:13" ht="11.1" customHeight="1" outlineLevel="4" x14ac:dyDescent="0.2">
      <c r="A94" s="60"/>
      <c r="B94" s="54" t="s">
        <v>23</v>
      </c>
      <c r="C94" s="61"/>
      <c r="D94" s="61"/>
      <c r="E94" s="61"/>
      <c r="F94" s="61"/>
      <c r="G94" s="61"/>
      <c r="H94" s="61"/>
      <c r="I94" s="61"/>
      <c r="J94" s="62"/>
      <c r="K94" s="63">
        <f>SUM($K$95)</f>
        <v>0</v>
      </c>
      <c r="L94" s="57"/>
      <c r="M94" s="57"/>
    </row>
    <row r="95" spans="1:13" ht="35.1" customHeight="1" outlineLevel="4" x14ac:dyDescent="0.2">
      <c r="A95" s="2"/>
      <c r="B95" s="3" t="s">
        <v>96</v>
      </c>
      <c r="C95" s="4"/>
      <c r="D95" s="4"/>
      <c r="E95" s="2" t="s">
        <v>25</v>
      </c>
      <c r="F95" s="64"/>
      <c r="G95" s="6">
        <v>550.66999999999996</v>
      </c>
      <c r="H95" s="9">
        <v>580.6</v>
      </c>
      <c r="I95" s="7">
        <f>SUM($G$95:$H$95)</f>
        <v>1131.27</v>
      </c>
      <c r="J95" s="77">
        <f>VLOOKUP(B95,Работы!$B$3:$I$23,6,0)</f>
        <v>0</v>
      </c>
      <c r="K95" s="7">
        <f>ROUND($I$95*$J$95,2)</f>
        <v>0</v>
      </c>
      <c r="L95" s="4"/>
      <c r="M95" s="4"/>
    </row>
    <row r="96" spans="1:13" ht="11.1" customHeight="1" outlineLevel="4" x14ac:dyDescent="0.2">
      <c r="A96" s="60"/>
      <c r="B96" s="54" t="s">
        <v>27</v>
      </c>
      <c r="C96" s="61"/>
      <c r="D96" s="61"/>
      <c r="E96" s="61"/>
      <c r="F96" s="61"/>
      <c r="G96" s="61"/>
      <c r="H96" s="61"/>
      <c r="I96" s="61"/>
      <c r="J96" s="62"/>
      <c r="K96" s="63">
        <f>SUM($K$97:$K$102)</f>
        <v>0</v>
      </c>
      <c r="L96" s="57"/>
      <c r="M96" s="57"/>
    </row>
    <row r="97" spans="1:15" ht="11.1" customHeight="1" outlineLevel="4" x14ac:dyDescent="0.2">
      <c r="A97" s="2" t="s">
        <v>28</v>
      </c>
      <c r="B97" s="3" t="s">
        <v>150</v>
      </c>
      <c r="C97" s="4"/>
      <c r="D97" s="4" t="s">
        <v>47</v>
      </c>
      <c r="E97" s="2" t="s">
        <v>25</v>
      </c>
      <c r="F97" s="5">
        <v>1.1399999999999999</v>
      </c>
      <c r="G97" s="6">
        <v>627.77</v>
      </c>
      <c r="H97" s="6">
        <v>661.88</v>
      </c>
      <c r="I97" s="7">
        <f>SUM($G$97:$H$97)</f>
        <v>1289.6500000000001</v>
      </c>
      <c r="J97" s="77">
        <f>VLOOKUP(B97,Материалы!$B$2:$K$37,8,0)</f>
        <v>0</v>
      </c>
      <c r="K97" s="7">
        <f>ROUND($I$97*$J$97,2)</f>
        <v>0</v>
      </c>
      <c r="L97" s="4"/>
      <c r="M97" s="4" t="s">
        <v>178</v>
      </c>
    </row>
    <row r="98" spans="1:15" ht="11.1" customHeight="1" outlineLevel="4" x14ac:dyDescent="0.2">
      <c r="A98" s="2" t="s">
        <v>36</v>
      </c>
      <c r="B98" s="3" t="s">
        <v>151</v>
      </c>
      <c r="C98" s="4"/>
      <c r="D98" s="4" t="s">
        <v>48</v>
      </c>
      <c r="E98" s="2" t="s">
        <v>25</v>
      </c>
      <c r="F98" s="5">
        <v>1.1599999999999999</v>
      </c>
      <c r="G98" s="6">
        <v>585.41999999999996</v>
      </c>
      <c r="H98" s="9">
        <v>617.20000000000005</v>
      </c>
      <c r="I98" s="7">
        <f>SUM($G$98:$H$98)</f>
        <v>1202.6199999999999</v>
      </c>
      <c r="J98" s="77">
        <f>VLOOKUP(B98,Материалы!$B$2:$K$37,8,0)</f>
        <v>0</v>
      </c>
      <c r="K98" s="7">
        <f>ROUND($I$98*$J$98,2)</f>
        <v>0</v>
      </c>
      <c r="L98" s="4"/>
      <c r="M98" s="4" t="s">
        <v>178</v>
      </c>
    </row>
    <row r="99" spans="1:15" ht="11.1" customHeight="1" outlineLevel="4" x14ac:dyDescent="0.2">
      <c r="A99" s="2" t="s">
        <v>49</v>
      </c>
      <c r="B99" s="3" t="s">
        <v>50</v>
      </c>
      <c r="C99" s="4"/>
      <c r="D99" s="4"/>
      <c r="E99" s="2" t="s">
        <v>31</v>
      </c>
      <c r="F99" s="5">
        <v>0.94</v>
      </c>
      <c r="G99" s="6">
        <v>678.28</v>
      </c>
      <c r="H99" s="6">
        <v>715.24</v>
      </c>
      <c r="I99" s="7">
        <f>SUM($G$99:$H$99)</f>
        <v>1393.52</v>
      </c>
      <c r="J99" s="77">
        <f>VLOOKUP(B99,Материалы!$B$2:$K$37,8,0)</f>
        <v>0</v>
      </c>
      <c r="K99" s="7">
        <f>ROUND($I$99*$J$99,2)</f>
        <v>0</v>
      </c>
      <c r="L99" s="4"/>
      <c r="M99" s="4" t="s">
        <v>178</v>
      </c>
      <c r="N99" s="99"/>
      <c r="O99" s="99"/>
    </row>
    <row r="100" spans="1:15" s="15" customFormat="1" ht="23.1" customHeight="1" outlineLevel="4" x14ac:dyDescent="0.2">
      <c r="A100" s="10" t="s">
        <v>86</v>
      </c>
      <c r="B100" s="11" t="s">
        <v>159</v>
      </c>
      <c r="C100" s="12"/>
      <c r="D100" s="12" t="s">
        <v>44</v>
      </c>
      <c r="E100" s="10" t="s">
        <v>45</v>
      </c>
      <c r="F100" s="68"/>
      <c r="G100" s="69">
        <v>1</v>
      </c>
      <c r="H100" s="69">
        <v>1</v>
      </c>
      <c r="I100" s="69">
        <f>SUM($G$100:$H$100)</f>
        <v>2</v>
      </c>
      <c r="J100" s="77">
        <f>VLOOKUP(B100,Материалы!$B$2:$K$37,8,0)</f>
        <v>0</v>
      </c>
      <c r="K100" s="14">
        <f>ROUND($I$100*$J$100,2)</f>
        <v>0</v>
      </c>
      <c r="L100" s="12" t="s">
        <v>97</v>
      </c>
      <c r="M100" s="4" t="s">
        <v>178</v>
      </c>
    </row>
    <row r="101" spans="1:15" s="15" customFormat="1" ht="23.1" customHeight="1" outlineLevel="4" x14ac:dyDescent="0.2">
      <c r="A101" s="10" t="s">
        <v>88</v>
      </c>
      <c r="B101" s="11" t="s">
        <v>156</v>
      </c>
      <c r="C101" s="12"/>
      <c r="D101" s="12" t="s">
        <v>74</v>
      </c>
      <c r="E101" s="10" t="s">
        <v>75</v>
      </c>
      <c r="F101" s="68"/>
      <c r="G101" s="69">
        <v>1</v>
      </c>
      <c r="H101" s="69">
        <v>1</v>
      </c>
      <c r="I101" s="69">
        <f>SUM($G$101:$H$101)</f>
        <v>2</v>
      </c>
      <c r="J101" s="77">
        <f>VLOOKUP(B101,Материалы!$B$2:$K$37,8,0)</f>
        <v>0</v>
      </c>
      <c r="K101" s="14">
        <f>ROUND($I$101*$J$101,2)</f>
        <v>0</v>
      </c>
      <c r="L101" s="12" t="s">
        <v>97</v>
      </c>
      <c r="M101" s="4" t="s">
        <v>178</v>
      </c>
    </row>
    <row r="102" spans="1:15" s="15" customFormat="1" ht="23.1" customHeight="1" outlineLevel="4" x14ac:dyDescent="0.2">
      <c r="A102" s="10" t="s">
        <v>90</v>
      </c>
      <c r="B102" s="11" t="s">
        <v>98</v>
      </c>
      <c r="C102" s="12"/>
      <c r="D102" s="12" t="s">
        <v>99</v>
      </c>
      <c r="E102" s="10" t="s">
        <v>39</v>
      </c>
      <c r="F102" s="68"/>
      <c r="G102" s="69">
        <v>4</v>
      </c>
      <c r="H102" s="69">
        <v>3</v>
      </c>
      <c r="I102" s="69">
        <f>SUM($G$102:$H$102)</f>
        <v>7</v>
      </c>
      <c r="J102" s="77">
        <f>VLOOKUP(B102,Материалы!$B$2:$K$37,8,0)</f>
        <v>0</v>
      </c>
      <c r="K102" s="14">
        <f>ROUND($I$102*$J$102,2)</f>
        <v>0</v>
      </c>
      <c r="L102" s="12" t="s">
        <v>97</v>
      </c>
      <c r="M102" s="4" t="s">
        <v>178</v>
      </c>
    </row>
    <row r="103" spans="1:15" ht="11.1" customHeight="1" outlineLevel="4" x14ac:dyDescent="0.2">
      <c r="A103" s="60"/>
      <c r="B103" s="54" t="s">
        <v>23</v>
      </c>
      <c r="C103" s="61"/>
      <c r="D103" s="61"/>
      <c r="E103" s="61"/>
      <c r="F103" s="61"/>
      <c r="G103" s="61"/>
      <c r="H103" s="61"/>
      <c r="I103" s="61"/>
      <c r="J103" s="62"/>
      <c r="K103" s="63">
        <f>SUM($K$104)</f>
        <v>0</v>
      </c>
      <c r="L103" s="57"/>
      <c r="M103" s="57"/>
    </row>
    <row r="104" spans="1:15" ht="35.1" customHeight="1" outlineLevel="4" x14ac:dyDescent="0.2">
      <c r="A104" s="2"/>
      <c r="B104" s="3" t="s">
        <v>100</v>
      </c>
      <c r="C104" s="4"/>
      <c r="D104" s="4"/>
      <c r="E104" s="2" t="s">
        <v>25</v>
      </c>
      <c r="F104" s="64"/>
      <c r="G104" s="6">
        <v>131.63999999999999</v>
      </c>
      <c r="H104" s="6">
        <v>140.66999999999999</v>
      </c>
      <c r="I104" s="6">
        <f>SUM($G$104:$H$104)</f>
        <v>272.30999999999995</v>
      </c>
      <c r="J104" s="77">
        <f>VLOOKUP(B104,Работы!$B$3:$I$23,6,0)</f>
        <v>0</v>
      </c>
      <c r="K104" s="7">
        <f>ROUND($I$104*$J$104,2)</f>
        <v>0</v>
      </c>
      <c r="L104" s="4"/>
      <c r="M104" s="4"/>
    </row>
    <row r="105" spans="1:15" ht="11.1" customHeight="1" outlineLevel="4" x14ac:dyDescent="0.2">
      <c r="A105" s="60"/>
      <c r="B105" s="54" t="s">
        <v>27</v>
      </c>
      <c r="C105" s="61"/>
      <c r="D105" s="61"/>
      <c r="E105" s="61"/>
      <c r="F105" s="61"/>
      <c r="G105" s="61"/>
      <c r="H105" s="61"/>
      <c r="I105" s="61"/>
      <c r="J105" s="62"/>
      <c r="K105" s="63">
        <f>SUM($K$106:$K$107)</f>
        <v>0</v>
      </c>
      <c r="L105" s="57"/>
      <c r="M105" s="57"/>
    </row>
    <row r="106" spans="1:15" ht="23.1" customHeight="1" outlineLevel="4" x14ac:dyDescent="0.2">
      <c r="A106" s="2" t="s">
        <v>28</v>
      </c>
      <c r="B106" s="3" t="s">
        <v>33</v>
      </c>
      <c r="C106" s="4" t="s">
        <v>34</v>
      </c>
      <c r="D106" s="4" t="s">
        <v>35</v>
      </c>
      <c r="E106" s="2" t="s">
        <v>25</v>
      </c>
      <c r="F106" s="5">
        <v>1.1000000000000001</v>
      </c>
      <c r="G106" s="65">
        <v>145</v>
      </c>
      <c r="H106" s="65">
        <v>155</v>
      </c>
      <c r="I106" s="65">
        <f>SUM($G$106:$H$106)</f>
        <v>300</v>
      </c>
      <c r="J106" s="77">
        <f>VLOOKUP(B106,Материалы!$B$2:$K$37,8,0)</f>
        <v>0</v>
      </c>
      <c r="K106" s="7">
        <f>ROUND($I$106*$J$106,2)</f>
        <v>0</v>
      </c>
      <c r="L106" s="4" t="s">
        <v>34</v>
      </c>
      <c r="M106" s="4" t="s">
        <v>178</v>
      </c>
    </row>
    <row r="107" spans="1:15" ht="35.1" customHeight="1" outlineLevel="4" x14ac:dyDescent="0.2">
      <c r="A107" s="2" t="s">
        <v>36</v>
      </c>
      <c r="B107" s="3" t="s">
        <v>161</v>
      </c>
      <c r="C107" s="4" t="s">
        <v>37</v>
      </c>
      <c r="D107" s="4" t="s">
        <v>38</v>
      </c>
      <c r="E107" s="2" t="s">
        <v>39</v>
      </c>
      <c r="F107" s="64"/>
      <c r="G107" s="65">
        <v>4</v>
      </c>
      <c r="H107" s="65">
        <v>4</v>
      </c>
      <c r="I107" s="65">
        <f>SUM($G$107:$H$107)</f>
        <v>8</v>
      </c>
      <c r="J107" s="77">
        <f>VLOOKUP(B107,Материалы!$B$2:$K$37,8,0)</f>
        <v>0</v>
      </c>
      <c r="K107" s="7">
        <f>ROUND($I$107*$J$107,2)</f>
        <v>0</v>
      </c>
      <c r="L107" s="4" t="s">
        <v>37</v>
      </c>
      <c r="M107" s="4" t="s">
        <v>178</v>
      </c>
    </row>
    <row r="108" spans="1:15" ht="11.1" customHeight="1" outlineLevel="4" x14ac:dyDescent="0.2">
      <c r="A108" s="60"/>
      <c r="B108" s="54" t="s">
        <v>23</v>
      </c>
      <c r="C108" s="61"/>
      <c r="D108" s="61"/>
      <c r="E108" s="61"/>
      <c r="F108" s="61"/>
      <c r="G108" s="61"/>
      <c r="H108" s="61"/>
      <c r="I108" s="61"/>
      <c r="J108" s="62"/>
      <c r="K108" s="63">
        <f>SUM($K$109)</f>
        <v>0</v>
      </c>
      <c r="L108" s="57"/>
      <c r="M108" s="57"/>
    </row>
    <row r="109" spans="1:15" ht="23.1" customHeight="1" outlineLevel="4" x14ac:dyDescent="0.2">
      <c r="A109" s="2"/>
      <c r="B109" s="3" t="s">
        <v>101</v>
      </c>
      <c r="C109" s="4"/>
      <c r="D109" s="4"/>
      <c r="E109" s="2" t="s">
        <v>25</v>
      </c>
      <c r="F109" s="64"/>
      <c r="G109" s="65">
        <v>53</v>
      </c>
      <c r="H109" s="6">
        <v>57.96</v>
      </c>
      <c r="I109" s="6">
        <f>SUM($G$109:$H$109)</f>
        <v>110.96000000000001</v>
      </c>
      <c r="J109" s="77">
        <f>VLOOKUP(B109,Работы!$B$3:$I$23,6,0)</f>
        <v>0</v>
      </c>
      <c r="K109" s="7">
        <f>ROUND($I$109*$J$109,2)</f>
        <v>0</v>
      </c>
      <c r="L109" s="4"/>
      <c r="M109" s="4"/>
    </row>
    <row r="110" spans="1:15" ht="11.1" customHeight="1" outlineLevel="4" x14ac:dyDescent="0.2">
      <c r="A110" s="60"/>
      <c r="B110" s="54" t="s">
        <v>27</v>
      </c>
      <c r="C110" s="61"/>
      <c r="D110" s="61"/>
      <c r="E110" s="61"/>
      <c r="F110" s="61"/>
      <c r="G110" s="61"/>
      <c r="H110" s="61"/>
      <c r="I110" s="61"/>
      <c r="J110" s="62"/>
      <c r="K110" s="63">
        <f>SUM($K$111)</f>
        <v>0</v>
      </c>
      <c r="L110" s="57"/>
      <c r="M110" s="57"/>
    </row>
    <row r="111" spans="1:15" s="15" customFormat="1" ht="23.1" customHeight="1" outlineLevel="4" x14ac:dyDescent="0.2">
      <c r="A111" s="10" t="s">
        <v>28</v>
      </c>
      <c r="B111" s="11" t="s">
        <v>63</v>
      </c>
      <c r="C111" s="12"/>
      <c r="D111" s="12" t="s">
        <v>64</v>
      </c>
      <c r="E111" s="10" t="s">
        <v>42</v>
      </c>
      <c r="F111" s="13">
        <v>1.1000000000000001</v>
      </c>
      <c r="G111" s="17">
        <v>1.2</v>
      </c>
      <c r="H111" s="17">
        <v>1.3</v>
      </c>
      <c r="I111" s="17">
        <f>SUM($G$111:$H$111)</f>
        <v>2.5</v>
      </c>
      <c r="J111" s="77">
        <f>VLOOKUP(B111,Материалы!$B$2:$K$37,8,0)</f>
        <v>0</v>
      </c>
      <c r="K111" s="14">
        <f>ROUND($I$111*$J$111,2)</f>
        <v>0</v>
      </c>
      <c r="L111" s="12"/>
      <c r="M111" s="4" t="s">
        <v>178</v>
      </c>
    </row>
    <row r="112" spans="1:15" ht="23.1" customHeight="1" outlineLevel="2" x14ac:dyDescent="0.2">
      <c r="A112" s="53" t="s">
        <v>102</v>
      </c>
      <c r="B112" s="54" t="s">
        <v>103</v>
      </c>
      <c r="C112" s="55"/>
      <c r="D112" s="55"/>
      <c r="E112" s="53"/>
      <c r="F112" s="56"/>
      <c r="G112" s="57"/>
      <c r="H112" s="57"/>
      <c r="I112" s="57"/>
      <c r="J112" s="58"/>
      <c r="K112" s="58">
        <f>SUM($K$113)</f>
        <v>0</v>
      </c>
      <c r="L112" s="59"/>
      <c r="M112" s="59"/>
    </row>
    <row r="113" spans="1:13" ht="23.1" customHeight="1" outlineLevel="3" x14ac:dyDescent="0.2">
      <c r="A113" s="53" t="s">
        <v>104</v>
      </c>
      <c r="B113" s="54" t="s">
        <v>105</v>
      </c>
      <c r="C113" s="55"/>
      <c r="D113" s="55"/>
      <c r="E113" s="53"/>
      <c r="F113" s="56"/>
      <c r="G113" s="57"/>
      <c r="H113" s="57"/>
      <c r="I113" s="57"/>
      <c r="J113" s="58"/>
      <c r="K113" s="58">
        <f>SUM($K$122,$K$120,$K$116,$K$114)</f>
        <v>0</v>
      </c>
      <c r="L113" s="59"/>
      <c r="M113" s="59"/>
    </row>
    <row r="114" spans="1:13" ht="11.1" customHeight="1" outlineLevel="4" x14ac:dyDescent="0.2">
      <c r="A114" s="60"/>
      <c r="B114" s="54" t="s">
        <v>23</v>
      </c>
      <c r="C114" s="61"/>
      <c r="D114" s="61"/>
      <c r="E114" s="61"/>
      <c r="F114" s="61"/>
      <c r="G114" s="61"/>
      <c r="H114" s="61"/>
      <c r="I114" s="61"/>
      <c r="J114" s="62"/>
      <c r="K114" s="63">
        <f>SUM($K$115)</f>
        <v>0</v>
      </c>
      <c r="L114" s="57"/>
      <c r="M114" s="57"/>
    </row>
    <row r="115" spans="1:13" ht="11.1" customHeight="1" outlineLevel="4" x14ac:dyDescent="0.2">
      <c r="A115" s="2"/>
      <c r="B115" s="3" t="s">
        <v>106</v>
      </c>
      <c r="C115" s="4"/>
      <c r="D115" s="4"/>
      <c r="E115" s="2" t="s">
        <v>39</v>
      </c>
      <c r="F115" s="64"/>
      <c r="G115" s="65">
        <v>11</v>
      </c>
      <c r="H115" s="65">
        <v>11</v>
      </c>
      <c r="I115" s="65">
        <f>SUM($G$115:$H$115)</f>
        <v>22</v>
      </c>
      <c r="J115" s="77">
        <f>VLOOKUP(B115,Работы!$B$3:$I$23,6,0)</f>
        <v>0</v>
      </c>
      <c r="K115" s="7">
        <f>ROUND($I$115*$J$115,2)</f>
        <v>0</v>
      </c>
      <c r="L115" s="4"/>
      <c r="M115" s="4"/>
    </row>
    <row r="116" spans="1:13" ht="11.1" customHeight="1" outlineLevel="4" x14ac:dyDescent="0.2">
      <c r="A116" s="60"/>
      <c r="B116" s="54" t="s">
        <v>27</v>
      </c>
      <c r="C116" s="61"/>
      <c r="D116" s="61"/>
      <c r="E116" s="61"/>
      <c r="F116" s="61"/>
      <c r="G116" s="61"/>
      <c r="H116" s="61"/>
      <c r="I116" s="61"/>
      <c r="J116" s="62"/>
      <c r="K116" s="63">
        <f>SUM($K$117:$K$119)</f>
        <v>0</v>
      </c>
      <c r="L116" s="57"/>
      <c r="M116" s="57"/>
    </row>
    <row r="117" spans="1:13" ht="11.1" customHeight="1" outlineLevel="4" x14ac:dyDescent="0.2">
      <c r="A117" s="2" t="s">
        <v>28</v>
      </c>
      <c r="B117" s="3" t="s">
        <v>150</v>
      </c>
      <c r="C117" s="4"/>
      <c r="D117" s="4" t="s">
        <v>47</v>
      </c>
      <c r="E117" s="2" t="s">
        <v>25</v>
      </c>
      <c r="F117" s="5">
        <v>1</v>
      </c>
      <c r="G117" s="65">
        <v>11</v>
      </c>
      <c r="H117" s="65">
        <v>11</v>
      </c>
      <c r="I117" s="65">
        <f>SUM($G$117:$H$117)</f>
        <v>22</v>
      </c>
      <c r="J117" s="77">
        <f>VLOOKUP(B117,Материалы!$B$2:$K$37,8,0)</f>
        <v>0</v>
      </c>
      <c r="K117" s="7">
        <f>ROUND($I$117*$J$117,2)</f>
        <v>0</v>
      </c>
      <c r="L117" s="4"/>
      <c r="M117" s="4" t="s">
        <v>178</v>
      </c>
    </row>
    <row r="118" spans="1:13" ht="11.1" customHeight="1" outlineLevel="4" x14ac:dyDescent="0.2">
      <c r="A118" s="2" t="s">
        <v>36</v>
      </c>
      <c r="B118" s="3" t="s">
        <v>151</v>
      </c>
      <c r="C118" s="4"/>
      <c r="D118" s="4" t="s">
        <v>48</v>
      </c>
      <c r="E118" s="2" t="s">
        <v>25</v>
      </c>
      <c r="F118" s="5">
        <v>1</v>
      </c>
      <c r="G118" s="65">
        <v>11</v>
      </c>
      <c r="H118" s="65">
        <v>11</v>
      </c>
      <c r="I118" s="65">
        <f>SUM($G$118:$H$118)</f>
        <v>22</v>
      </c>
      <c r="J118" s="77">
        <f>VLOOKUP(B118,Материалы!$B$2:$K$37,8,0)</f>
        <v>0</v>
      </c>
      <c r="K118" s="7">
        <f>ROUND($I$118*$J$118,2)</f>
        <v>0</v>
      </c>
      <c r="L118" s="4"/>
      <c r="M118" s="4" t="s">
        <v>178</v>
      </c>
    </row>
    <row r="119" spans="1:13" ht="11.1" customHeight="1" outlineLevel="4" x14ac:dyDescent="0.2">
      <c r="A119" s="2" t="s">
        <v>49</v>
      </c>
      <c r="B119" s="3" t="s">
        <v>167</v>
      </c>
      <c r="C119" s="4"/>
      <c r="D119" s="4" t="s">
        <v>107</v>
      </c>
      <c r="E119" s="2" t="s">
        <v>39</v>
      </c>
      <c r="F119" s="64"/>
      <c r="G119" s="65">
        <v>11</v>
      </c>
      <c r="H119" s="65">
        <v>11</v>
      </c>
      <c r="I119" s="65">
        <f>SUM($G$119:$H$119)</f>
        <v>22</v>
      </c>
      <c r="J119" s="77">
        <f>VLOOKUP(B119,Материалы!$B$2:$K$37,8,0)</f>
        <v>0</v>
      </c>
      <c r="K119" s="7">
        <f>ROUND($I$119*$J$119,2)</f>
        <v>0</v>
      </c>
      <c r="L119" s="4"/>
      <c r="M119" s="4" t="s">
        <v>178</v>
      </c>
    </row>
    <row r="120" spans="1:13" ht="11.1" customHeight="1" outlineLevel="4" x14ac:dyDescent="0.2">
      <c r="A120" s="60"/>
      <c r="B120" s="54" t="s">
        <v>23</v>
      </c>
      <c r="C120" s="61"/>
      <c r="D120" s="61"/>
      <c r="E120" s="61"/>
      <c r="F120" s="61"/>
      <c r="G120" s="61"/>
      <c r="H120" s="61"/>
      <c r="I120" s="61"/>
      <c r="J120" s="62"/>
      <c r="K120" s="63">
        <f>SUM($K$121)</f>
        <v>0</v>
      </c>
      <c r="L120" s="57"/>
      <c r="M120" s="57"/>
    </row>
    <row r="121" spans="1:13" ht="11.1" customHeight="1" outlineLevel="4" x14ac:dyDescent="0.2">
      <c r="A121" s="2"/>
      <c r="B121" s="3" t="s">
        <v>108</v>
      </c>
      <c r="C121" s="4"/>
      <c r="D121" s="4"/>
      <c r="E121" s="2" t="s">
        <v>39</v>
      </c>
      <c r="F121" s="64"/>
      <c r="G121" s="65">
        <v>3</v>
      </c>
      <c r="H121" s="65">
        <v>2</v>
      </c>
      <c r="I121" s="65">
        <f>SUM($G$121:$H$121)</f>
        <v>5</v>
      </c>
      <c r="J121" s="77">
        <f>VLOOKUP(B121,Работы!$B$3:$I$23,6,0)</f>
        <v>0</v>
      </c>
      <c r="K121" s="7">
        <f>ROUND($I$121*$J$121,2)</f>
        <v>0</v>
      </c>
      <c r="L121" s="4"/>
      <c r="M121" s="4"/>
    </row>
    <row r="122" spans="1:13" ht="11.1" customHeight="1" outlineLevel="4" x14ac:dyDescent="0.2">
      <c r="A122" s="60"/>
      <c r="B122" s="54" t="s">
        <v>27</v>
      </c>
      <c r="C122" s="61"/>
      <c r="D122" s="61"/>
      <c r="E122" s="61"/>
      <c r="F122" s="61"/>
      <c r="G122" s="61"/>
      <c r="H122" s="61"/>
      <c r="I122" s="61"/>
      <c r="J122" s="62"/>
      <c r="K122" s="63">
        <f>SUM($K$123:$K$126)</f>
        <v>0</v>
      </c>
      <c r="L122" s="57"/>
      <c r="M122" s="57"/>
    </row>
    <row r="123" spans="1:13" ht="11.1" customHeight="1" outlineLevel="4" x14ac:dyDescent="0.2">
      <c r="A123" s="2" t="s">
        <v>28</v>
      </c>
      <c r="B123" s="3" t="s">
        <v>151</v>
      </c>
      <c r="C123" s="4"/>
      <c r="D123" s="4" t="s">
        <v>48</v>
      </c>
      <c r="E123" s="2" t="s">
        <v>25</v>
      </c>
      <c r="F123" s="5">
        <v>1</v>
      </c>
      <c r="G123" s="65">
        <v>3</v>
      </c>
      <c r="H123" s="65">
        <v>2</v>
      </c>
      <c r="I123" s="65">
        <f>SUM($G$123:$H$123)</f>
        <v>5</v>
      </c>
      <c r="J123" s="77">
        <f>VLOOKUP(B123,Материалы!$B$2:$K$37,8,0)</f>
        <v>0</v>
      </c>
      <c r="K123" s="7">
        <f>ROUND($I$123*$J$123,2)</f>
        <v>0</v>
      </c>
      <c r="L123" s="4"/>
      <c r="M123" s="4" t="s">
        <v>178</v>
      </c>
    </row>
    <row r="124" spans="1:13" ht="11.1" customHeight="1" outlineLevel="4" x14ac:dyDescent="0.2">
      <c r="A124" s="2" t="s">
        <v>36</v>
      </c>
      <c r="B124" s="3" t="s">
        <v>159</v>
      </c>
      <c r="C124" s="4"/>
      <c r="D124" s="4" t="s">
        <v>44</v>
      </c>
      <c r="E124" s="2" t="s">
        <v>45</v>
      </c>
      <c r="F124" s="64"/>
      <c r="G124" s="65">
        <v>2</v>
      </c>
      <c r="H124" s="65">
        <v>2</v>
      </c>
      <c r="I124" s="65">
        <f>SUM($G$124:$H$124)</f>
        <v>4</v>
      </c>
      <c r="J124" s="77">
        <f>VLOOKUP(B124,Материалы!$B$2:$K$37,8,0)</f>
        <v>0</v>
      </c>
      <c r="K124" s="7">
        <f>ROUND($I$124*$J$124,2)</f>
        <v>0</v>
      </c>
      <c r="L124" s="4"/>
      <c r="M124" s="4" t="s">
        <v>178</v>
      </c>
    </row>
    <row r="125" spans="1:13" ht="47.1" customHeight="1" outlineLevel="4" x14ac:dyDescent="0.2">
      <c r="A125" s="2" t="s">
        <v>49</v>
      </c>
      <c r="B125" s="3" t="s">
        <v>168</v>
      </c>
      <c r="C125" s="4"/>
      <c r="D125" s="4" t="s">
        <v>109</v>
      </c>
      <c r="E125" s="2" t="s">
        <v>39</v>
      </c>
      <c r="F125" s="64"/>
      <c r="G125" s="65">
        <v>2</v>
      </c>
      <c r="H125" s="65">
        <v>2</v>
      </c>
      <c r="I125" s="65">
        <f>SUM($G$125:$H$125)</f>
        <v>4</v>
      </c>
      <c r="J125" s="77">
        <f>VLOOKUP(B125,Материалы!$B$2:$K$37,8,0)</f>
        <v>0</v>
      </c>
      <c r="K125" s="7">
        <f>ROUND($I$125*$J$125,2)</f>
        <v>0</v>
      </c>
      <c r="L125" s="4" t="s">
        <v>110</v>
      </c>
      <c r="M125" s="4" t="s">
        <v>178</v>
      </c>
    </row>
    <row r="126" spans="1:13" ht="35.1" customHeight="1" outlineLevel="4" x14ac:dyDescent="0.2">
      <c r="A126" s="2" t="s">
        <v>86</v>
      </c>
      <c r="B126" s="3" t="s">
        <v>169</v>
      </c>
      <c r="C126" s="4" t="s">
        <v>111</v>
      </c>
      <c r="D126" s="4" t="s">
        <v>109</v>
      </c>
      <c r="E126" s="2" t="s">
        <v>39</v>
      </c>
      <c r="F126" s="64"/>
      <c r="G126" s="65">
        <v>1</v>
      </c>
      <c r="H126" s="64"/>
      <c r="I126" s="65">
        <f>SUM($G$126:$H$126)</f>
        <v>1</v>
      </c>
      <c r="J126" s="77">
        <f>VLOOKUP(B126,Материалы!$B$2:$K$37,8,0)</f>
        <v>0</v>
      </c>
      <c r="K126" s="7">
        <f>ROUND($I$126*$J$126,2)</f>
        <v>0</v>
      </c>
      <c r="L126" s="4" t="s">
        <v>112</v>
      </c>
      <c r="M126" s="4" t="s">
        <v>178</v>
      </c>
    </row>
    <row r="127" spans="1:13" ht="11.1" customHeight="1" outlineLevel="2" x14ac:dyDescent="0.2">
      <c r="A127" s="53" t="s">
        <v>113</v>
      </c>
      <c r="B127" s="54" t="s">
        <v>114</v>
      </c>
      <c r="C127" s="55"/>
      <c r="D127" s="55"/>
      <c r="E127" s="53"/>
      <c r="F127" s="56"/>
      <c r="G127" s="57"/>
      <c r="H127" s="57"/>
      <c r="I127" s="57"/>
      <c r="J127" s="58"/>
      <c r="K127" s="58">
        <f>SUM($K$128)</f>
        <v>0</v>
      </c>
      <c r="L127" s="59"/>
      <c r="M127" s="59"/>
    </row>
    <row r="128" spans="1:13" ht="11.1" customHeight="1" outlineLevel="3" x14ac:dyDescent="0.2">
      <c r="A128" s="53" t="s">
        <v>115</v>
      </c>
      <c r="B128" s="54" t="s">
        <v>114</v>
      </c>
      <c r="C128" s="55"/>
      <c r="D128" s="55"/>
      <c r="E128" s="53"/>
      <c r="F128" s="56"/>
      <c r="G128" s="57"/>
      <c r="H128" s="57"/>
      <c r="I128" s="57"/>
      <c r="J128" s="58"/>
      <c r="K128" s="58">
        <f>SUM($K$131,$K$129)</f>
        <v>0</v>
      </c>
      <c r="L128" s="59"/>
      <c r="M128" s="59"/>
    </row>
    <row r="129" spans="1:13" ht="11.1" customHeight="1" outlineLevel="4" x14ac:dyDescent="0.2">
      <c r="A129" s="60"/>
      <c r="B129" s="54" t="s">
        <v>23</v>
      </c>
      <c r="C129" s="61"/>
      <c r="D129" s="61"/>
      <c r="E129" s="61"/>
      <c r="F129" s="61"/>
      <c r="G129" s="61"/>
      <c r="H129" s="61"/>
      <c r="I129" s="61"/>
      <c r="J129" s="62"/>
      <c r="K129" s="63">
        <f>SUM($K$130)</f>
        <v>0</v>
      </c>
      <c r="L129" s="57"/>
      <c r="M129" s="57"/>
    </row>
    <row r="130" spans="1:13" ht="11.1" customHeight="1" outlineLevel="4" x14ac:dyDescent="0.2">
      <c r="A130" s="2"/>
      <c r="B130" s="3" t="s">
        <v>114</v>
      </c>
      <c r="C130" s="4"/>
      <c r="D130" s="4"/>
      <c r="E130" s="2" t="s">
        <v>72</v>
      </c>
      <c r="F130" s="64"/>
      <c r="G130" s="6">
        <v>15.17</v>
      </c>
      <c r="H130" s="64"/>
      <c r="I130" s="6">
        <f>SUM($G$130:$H$130)</f>
        <v>15.17</v>
      </c>
      <c r="J130" s="77">
        <f>VLOOKUP(B130,Работы!$B$3:$I$23,6,0)</f>
        <v>0</v>
      </c>
      <c r="K130" s="7">
        <f>ROUND($I$130*$J$130,2)</f>
        <v>0</v>
      </c>
      <c r="L130" s="4" t="s">
        <v>116</v>
      </c>
      <c r="M130" s="4"/>
    </row>
    <row r="131" spans="1:13" ht="11.1" customHeight="1" outlineLevel="4" x14ac:dyDescent="0.2">
      <c r="A131" s="60"/>
      <c r="B131" s="54" t="s">
        <v>27</v>
      </c>
      <c r="C131" s="61"/>
      <c r="D131" s="61"/>
      <c r="E131" s="61"/>
      <c r="F131" s="61"/>
      <c r="G131" s="61"/>
      <c r="H131" s="61"/>
      <c r="I131" s="61"/>
      <c r="J131" s="62"/>
      <c r="K131" s="63">
        <f>SUM($K$132:$K$136)</f>
        <v>0</v>
      </c>
      <c r="L131" s="57"/>
      <c r="M131" s="57"/>
    </row>
    <row r="132" spans="1:13" ht="35.1" customHeight="1" outlineLevel="4" x14ac:dyDescent="0.2">
      <c r="A132" s="2" t="s">
        <v>28</v>
      </c>
      <c r="B132" s="3" t="s">
        <v>170</v>
      </c>
      <c r="C132" s="4"/>
      <c r="D132" s="4" t="s">
        <v>117</v>
      </c>
      <c r="E132" s="2" t="s">
        <v>39</v>
      </c>
      <c r="F132" s="64"/>
      <c r="G132" s="65">
        <v>77</v>
      </c>
      <c r="H132" s="64"/>
      <c r="I132" s="65">
        <f>SUM($G$132:$H$132)</f>
        <v>77</v>
      </c>
      <c r="J132" s="77">
        <f>VLOOKUP(B132,Материалы!$B$2:$K$37,8,0)</f>
        <v>0</v>
      </c>
      <c r="K132" s="7">
        <f>ROUND($I$132*$J$132,2)</f>
        <v>0</v>
      </c>
      <c r="L132" s="4"/>
      <c r="M132" s="4" t="s">
        <v>178</v>
      </c>
    </row>
    <row r="133" spans="1:13" ht="59.1" customHeight="1" outlineLevel="4" x14ac:dyDescent="0.2">
      <c r="A133" s="2" t="s">
        <v>36</v>
      </c>
      <c r="B133" s="3" t="s">
        <v>177</v>
      </c>
      <c r="C133" s="4"/>
      <c r="D133" s="4" t="s">
        <v>118</v>
      </c>
      <c r="E133" s="2" t="s">
        <v>72</v>
      </c>
      <c r="F133" s="5">
        <v>1.05</v>
      </c>
      <c r="G133" s="6">
        <v>15.92</v>
      </c>
      <c r="H133" s="64"/>
      <c r="I133" s="6">
        <f>SUM($G$133:$H$133)</f>
        <v>15.92</v>
      </c>
      <c r="J133" s="77">
        <f>VLOOKUP(B133,Материалы!$B$2:$K$37,8,0)</f>
        <v>0</v>
      </c>
      <c r="K133" s="7">
        <f>ROUND($I$133*$J$133,2)</f>
        <v>0</v>
      </c>
      <c r="L133" s="4"/>
      <c r="M133" s="4" t="s">
        <v>178</v>
      </c>
    </row>
    <row r="134" spans="1:13" ht="59.1" customHeight="1" outlineLevel="4" x14ac:dyDescent="0.2">
      <c r="A134" s="2" t="s">
        <v>49</v>
      </c>
      <c r="B134" s="3" t="s">
        <v>171</v>
      </c>
      <c r="C134" s="4"/>
      <c r="D134" s="4" t="s">
        <v>119</v>
      </c>
      <c r="E134" s="2" t="s">
        <v>72</v>
      </c>
      <c r="F134" s="5">
        <v>1.05</v>
      </c>
      <c r="G134" s="6">
        <v>15.92</v>
      </c>
      <c r="H134" s="64"/>
      <c r="I134" s="6">
        <f>SUM($G$134:$H$134)</f>
        <v>15.92</v>
      </c>
      <c r="J134" s="77">
        <f>VLOOKUP(B134,Материалы!$B$2:$K$37,8,0)</f>
        <v>0</v>
      </c>
      <c r="K134" s="7">
        <f>ROUND($I$134*$J$134,2)</f>
        <v>0</v>
      </c>
      <c r="L134" s="4"/>
      <c r="M134" s="4" t="s">
        <v>178</v>
      </c>
    </row>
    <row r="135" spans="1:13" ht="23.1" customHeight="1" outlineLevel="4" x14ac:dyDescent="0.2">
      <c r="A135" s="2" t="s">
        <v>86</v>
      </c>
      <c r="B135" s="3" t="s">
        <v>172</v>
      </c>
      <c r="C135" s="4" t="s">
        <v>120</v>
      </c>
      <c r="D135" s="4" t="s">
        <v>121</v>
      </c>
      <c r="E135" s="2" t="s">
        <v>75</v>
      </c>
      <c r="F135" s="64"/>
      <c r="G135" s="65">
        <v>4</v>
      </c>
      <c r="H135" s="64"/>
      <c r="I135" s="65">
        <f>SUM($G$135:$H$135)</f>
        <v>4</v>
      </c>
      <c r="J135" s="77">
        <f>VLOOKUP(B135,Материалы!$B$2:$K$37,8,0)</f>
        <v>0</v>
      </c>
      <c r="K135" s="7">
        <f>ROUND($I$135*$J$135,2)</f>
        <v>0</v>
      </c>
      <c r="L135" s="4" t="s">
        <v>122</v>
      </c>
      <c r="M135" s="4" t="s">
        <v>178</v>
      </c>
    </row>
    <row r="136" spans="1:13" ht="23.1" customHeight="1" outlineLevel="4" x14ac:dyDescent="0.2">
      <c r="A136" s="2" t="s">
        <v>88</v>
      </c>
      <c r="B136" s="3" t="s">
        <v>173</v>
      </c>
      <c r="C136" s="4"/>
      <c r="D136" s="4" t="s">
        <v>123</v>
      </c>
      <c r="E136" s="2" t="s">
        <v>39</v>
      </c>
      <c r="F136" s="64"/>
      <c r="G136" s="65">
        <v>77</v>
      </c>
      <c r="H136" s="64"/>
      <c r="I136" s="65">
        <f>SUM($G$136:$H$136)</f>
        <v>77</v>
      </c>
      <c r="J136" s="77">
        <f>VLOOKUP(B136,Материалы!$B$2:$K$37,8,0)</f>
        <v>0</v>
      </c>
      <c r="K136" s="7">
        <f>ROUND($I$136*$J$136,2)</f>
        <v>0</v>
      </c>
      <c r="L136" s="4"/>
      <c r="M136" s="4" t="s">
        <v>178</v>
      </c>
    </row>
    <row r="137" spans="1:13" ht="11.1" customHeight="1" outlineLevel="2" x14ac:dyDescent="0.2">
      <c r="A137" s="53" t="s">
        <v>124</v>
      </c>
      <c r="B137" s="54" t="s">
        <v>125</v>
      </c>
      <c r="C137" s="55"/>
      <c r="D137" s="55"/>
      <c r="E137" s="53"/>
      <c r="F137" s="56"/>
      <c r="G137" s="57"/>
      <c r="H137" s="57"/>
      <c r="I137" s="57"/>
      <c r="J137" s="58"/>
      <c r="K137" s="58">
        <f>SUM($K$138)</f>
        <v>0</v>
      </c>
      <c r="L137" s="59"/>
      <c r="M137" s="59"/>
    </row>
    <row r="138" spans="1:13" ht="11.1" customHeight="1" outlineLevel="3" x14ac:dyDescent="0.2">
      <c r="A138" s="53" t="s">
        <v>126</v>
      </c>
      <c r="B138" s="54" t="s">
        <v>125</v>
      </c>
      <c r="C138" s="55"/>
      <c r="D138" s="55"/>
      <c r="E138" s="53"/>
      <c r="F138" s="56"/>
      <c r="G138" s="57"/>
      <c r="H138" s="57"/>
      <c r="I138" s="57"/>
      <c r="J138" s="58"/>
      <c r="K138" s="58">
        <f>SUM($K$141,$K$139)</f>
        <v>0</v>
      </c>
      <c r="L138" s="59"/>
      <c r="M138" s="59"/>
    </row>
    <row r="139" spans="1:13" ht="11.1" customHeight="1" outlineLevel="4" x14ac:dyDescent="0.2">
      <c r="A139" s="60"/>
      <c r="B139" s="54" t="s">
        <v>23</v>
      </c>
      <c r="C139" s="61"/>
      <c r="D139" s="61"/>
      <c r="E139" s="61"/>
      <c r="F139" s="61"/>
      <c r="G139" s="61"/>
      <c r="H139" s="61"/>
      <c r="I139" s="61"/>
      <c r="J139" s="62"/>
      <c r="K139" s="63">
        <f>SUM($K$140)</f>
        <v>0</v>
      </c>
      <c r="L139" s="57"/>
      <c r="M139" s="57"/>
    </row>
    <row r="140" spans="1:13" ht="11.1" customHeight="1" outlineLevel="4" x14ac:dyDescent="0.2">
      <c r="A140" s="2"/>
      <c r="B140" s="3" t="s">
        <v>125</v>
      </c>
      <c r="C140" s="4"/>
      <c r="D140" s="4"/>
      <c r="E140" s="2" t="s">
        <v>72</v>
      </c>
      <c r="F140" s="64"/>
      <c r="G140" s="64"/>
      <c r="H140" s="6">
        <v>111.52</v>
      </c>
      <c r="I140" s="6">
        <f>SUM($G$140:$H$140)</f>
        <v>111.52</v>
      </c>
      <c r="J140" s="77">
        <f>VLOOKUP(B140,Работы!$B$3:$I$23,6,0)</f>
        <v>0</v>
      </c>
      <c r="K140" s="7">
        <f>ROUND($I$140*$J$140,2)</f>
        <v>0</v>
      </c>
      <c r="L140" s="4"/>
      <c r="M140" s="4"/>
    </row>
    <row r="141" spans="1:13" ht="11.1" customHeight="1" outlineLevel="4" x14ac:dyDescent="0.2">
      <c r="A141" s="60"/>
      <c r="B141" s="54" t="s">
        <v>27</v>
      </c>
      <c r="C141" s="61"/>
      <c r="D141" s="61"/>
      <c r="E141" s="61"/>
      <c r="F141" s="61"/>
      <c r="G141" s="61"/>
      <c r="H141" s="61"/>
      <c r="I141" s="61"/>
      <c r="J141" s="62"/>
      <c r="K141" s="63">
        <f>SUM($K$142:$K$145)</f>
        <v>0</v>
      </c>
      <c r="L141" s="57"/>
      <c r="M141" s="57"/>
    </row>
    <row r="142" spans="1:13" ht="35.1" customHeight="1" outlineLevel="4" x14ac:dyDescent="0.2">
      <c r="A142" s="2" t="s">
        <v>28</v>
      </c>
      <c r="B142" s="3" t="s">
        <v>170</v>
      </c>
      <c r="C142" s="4"/>
      <c r="D142" s="4" t="s">
        <v>117</v>
      </c>
      <c r="E142" s="2" t="s">
        <v>39</v>
      </c>
      <c r="F142" s="64"/>
      <c r="G142" s="64"/>
      <c r="H142" s="65">
        <v>559</v>
      </c>
      <c r="I142" s="65">
        <f>SUM($G$142:$H$142)</f>
        <v>559</v>
      </c>
      <c r="J142" s="77">
        <f>VLOOKUP(B142,Материалы!$B$2:$K$37,8,0)</f>
        <v>0</v>
      </c>
      <c r="K142" s="7">
        <f>ROUND($I$142*$J$142,2)</f>
        <v>0</v>
      </c>
      <c r="L142" s="4"/>
      <c r="M142" s="4" t="s">
        <v>178</v>
      </c>
    </row>
    <row r="143" spans="1:13" ht="56.25" outlineLevel="4" x14ac:dyDescent="0.2">
      <c r="A143" s="2" t="s">
        <v>36</v>
      </c>
      <c r="B143" s="3" t="s">
        <v>174</v>
      </c>
      <c r="C143" s="4"/>
      <c r="D143" s="4" t="s">
        <v>127</v>
      </c>
      <c r="E143" s="2" t="s">
        <v>72</v>
      </c>
      <c r="F143" s="5">
        <v>1.05</v>
      </c>
      <c r="G143" s="64"/>
      <c r="H143" s="9">
        <v>117.1</v>
      </c>
      <c r="I143" s="9">
        <f>SUM($G$143:$H$143)</f>
        <v>117.1</v>
      </c>
      <c r="J143" s="77">
        <f>VLOOKUP(B143,Материалы!$B$2:$K$37,8,0)</f>
        <v>0</v>
      </c>
      <c r="K143" s="7">
        <f>ROUND($I$143*$J$143,2)</f>
        <v>0</v>
      </c>
      <c r="L143" s="4" t="s">
        <v>128</v>
      </c>
      <c r="M143" s="4" t="s">
        <v>178</v>
      </c>
    </row>
    <row r="144" spans="1:13" ht="22.5" outlineLevel="4" x14ac:dyDescent="0.2">
      <c r="A144" s="2" t="s">
        <v>49</v>
      </c>
      <c r="B144" s="3" t="s">
        <v>172</v>
      </c>
      <c r="C144" s="4" t="s">
        <v>120</v>
      </c>
      <c r="D144" s="4" t="s">
        <v>121</v>
      </c>
      <c r="E144" s="2" t="s">
        <v>75</v>
      </c>
      <c r="F144" s="64"/>
      <c r="G144" s="64"/>
      <c r="H144" s="65">
        <v>25</v>
      </c>
      <c r="I144" s="65">
        <f>SUM($G$144:$H$144)</f>
        <v>25</v>
      </c>
      <c r="J144" s="77">
        <f>VLOOKUP(B144,Материалы!$B$2:$K$37,8,0)</f>
        <v>0</v>
      </c>
      <c r="K144" s="7">
        <f>ROUND($I$144*$J$144,2)</f>
        <v>0</v>
      </c>
      <c r="L144" s="4" t="s">
        <v>122</v>
      </c>
      <c r="M144" s="4" t="s">
        <v>178</v>
      </c>
    </row>
    <row r="145" spans="1:13" ht="23.1" customHeight="1" outlineLevel="4" x14ac:dyDescent="0.2">
      <c r="A145" s="2" t="s">
        <v>86</v>
      </c>
      <c r="B145" s="3" t="s">
        <v>173</v>
      </c>
      <c r="C145" s="4"/>
      <c r="D145" s="4" t="s">
        <v>123</v>
      </c>
      <c r="E145" s="2" t="s">
        <v>39</v>
      </c>
      <c r="F145" s="64"/>
      <c r="G145" s="64"/>
      <c r="H145" s="65">
        <v>559</v>
      </c>
      <c r="I145" s="65">
        <f>SUM($G$145:$H$145)</f>
        <v>559</v>
      </c>
      <c r="J145" s="77">
        <f>VLOOKUP(B145,Материалы!$B$2:$K$37,8,0)</f>
        <v>0</v>
      </c>
      <c r="K145" s="7">
        <f>ROUND($I$145*$J$145,2)</f>
        <v>0</v>
      </c>
      <c r="L145" s="4"/>
      <c r="M145" s="4" t="s">
        <v>178</v>
      </c>
    </row>
    <row r="146" spans="1:13" ht="11.1" customHeight="1" x14ac:dyDescent="0.2">
      <c r="A146" s="70"/>
      <c r="B146" s="71"/>
      <c r="C146" s="71"/>
      <c r="D146" s="71"/>
      <c r="E146" s="71"/>
      <c r="F146" s="71"/>
      <c r="G146" s="72"/>
      <c r="H146" s="72"/>
      <c r="I146" s="86" t="s">
        <v>129</v>
      </c>
      <c r="J146" s="87"/>
      <c r="K146" s="73">
        <f>$K$9</f>
        <v>0</v>
      </c>
      <c r="L146" s="74"/>
      <c r="M146" s="74"/>
    </row>
    <row r="147" spans="1:13" ht="11.1" customHeight="1" x14ac:dyDescent="0.2">
      <c r="A147" s="70"/>
      <c r="B147" s="71"/>
      <c r="C147" s="71"/>
      <c r="D147" s="71"/>
      <c r="E147" s="71"/>
      <c r="F147" s="71"/>
      <c r="G147" s="75"/>
      <c r="H147" s="75"/>
      <c r="I147" s="88" t="s">
        <v>130</v>
      </c>
      <c r="J147" s="89"/>
      <c r="K147" s="73">
        <f>SUM($K$139,$K$129,$K$120,$K$114,$K$108,$K$103,$K$94,$K$88,$K$83,$K$74,$K$70,$K$64,$K$59,$K$53,$K$46,$K$42,$K$38,$K$32,$K$26,$K$21,$K$16,$K$12)</f>
        <v>0</v>
      </c>
      <c r="L147" s="74"/>
      <c r="M147" s="74"/>
    </row>
    <row r="148" spans="1:13" ht="11.1" customHeight="1" x14ac:dyDescent="0.2">
      <c r="A148" s="70"/>
      <c r="B148" s="71"/>
      <c r="C148" s="71"/>
      <c r="D148" s="71"/>
      <c r="E148" s="71"/>
      <c r="F148" s="71"/>
      <c r="G148" s="75"/>
      <c r="H148" s="75"/>
      <c r="I148" s="88" t="s">
        <v>131</v>
      </c>
      <c r="J148" s="89"/>
      <c r="K148" s="73">
        <f>SUM($K$141,$K$131,$K$122,$K$116,$K$110,$K$105,$K$96,$K$90,$K$85,$K$76,$K$72,$K$66,$K$61,$K$55,$K$48,$K$44,$K$40,$K$34,$K$28,$K$23,$K$18,$K$14)</f>
        <v>0</v>
      </c>
      <c r="L148" s="74"/>
      <c r="M148" s="74"/>
    </row>
    <row r="149" spans="1:13" ht="11.1" customHeight="1" x14ac:dyDescent="0.2">
      <c r="A149" s="76"/>
      <c r="B149" s="94" t="s">
        <v>132</v>
      </c>
      <c r="C149" s="94"/>
      <c r="D149" s="94"/>
      <c r="E149" s="94"/>
      <c r="F149" s="94"/>
      <c r="G149" s="94"/>
      <c r="H149" s="94"/>
      <c r="I149" s="94"/>
      <c r="J149" s="95"/>
      <c r="K149" s="95"/>
      <c r="L149" s="94"/>
      <c r="M149" s="76"/>
    </row>
    <row r="150" spans="1:13" ht="11.1" customHeight="1" x14ac:dyDescent="0.2">
      <c r="B150" s="96"/>
      <c r="C150" s="96"/>
      <c r="D150" s="96"/>
      <c r="E150" s="96"/>
      <c r="F150" s="96"/>
      <c r="G150" s="96"/>
      <c r="H150" s="96"/>
      <c r="I150" s="96"/>
      <c r="J150" s="97"/>
      <c r="K150" s="97"/>
      <c r="L150" s="96"/>
    </row>
  </sheetData>
  <autoFilter ref="A6:M149" xr:uid="{00000000-0001-0000-0000-000000000000}"/>
  <mergeCells count="21">
    <mergeCell ref="I148:J148"/>
    <mergeCell ref="B149:L149"/>
    <mergeCell ref="B150:L150"/>
    <mergeCell ref="K6:K7"/>
    <mergeCell ref="L6:L7"/>
    <mergeCell ref="M6:M7"/>
    <mergeCell ref="I146:J146"/>
    <mergeCell ref="I147:J147"/>
    <mergeCell ref="B2:J2"/>
    <mergeCell ref="B3:J3"/>
    <mergeCell ref="B4:J4"/>
    <mergeCell ref="F6:F7"/>
    <mergeCell ref="G6:G7"/>
    <mergeCell ref="H6:H7"/>
    <mergeCell ref="I6:I7"/>
    <mergeCell ref="J6:J7"/>
    <mergeCell ref="A6:A7"/>
    <mergeCell ref="B6:B7"/>
    <mergeCell ref="C6:C7"/>
    <mergeCell ref="D6:D7"/>
    <mergeCell ref="E6:E7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K32"/>
  <sheetViews>
    <sheetView workbookViewId="0">
      <pane ySplit="3" topLeftCell="A4" activePane="bottomLeft" state="frozen"/>
      <selection pane="bottomLeft" activeCell="G3" sqref="G3:G23"/>
    </sheetView>
  </sheetViews>
  <sheetFormatPr defaultRowHeight="12.75" x14ac:dyDescent="0.2"/>
  <cols>
    <col min="1" max="1" width="14.1640625" style="18" customWidth="1"/>
    <col min="2" max="2" width="65.6640625" style="19" customWidth="1"/>
    <col min="3" max="3" width="9.33203125" style="18"/>
    <col min="4" max="5" width="12.33203125" style="18" customWidth="1"/>
    <col min="6" max="6" width="13.33203125" style="18" customWidth="1"/>
    <col min="7" max="7" width="14.33203125" style="18" customWidth="1"/>
    <col min="8" max="8" width="16.6640625" style="18" bestFit="1" customWidth="1"/>
    <col min="9" max="9" width="39" style="18" customWidth="1"/>
    <col min="10" max="16384" width="9.33203125" style="18"/>
  </cols>
  <sheetData>
    <row r="1" spans="1:9" x14ac:dyDescent="0.2">
      <c r="B1" s="19" t="s">
        <v>149</v>
      </c>
    </row>
    <row r="2" spans="1:9" x14ac:dyDescent="0.2">
      <c r="A2" s="41" t="s">
        <v>2</v>
      </c>
      <c r="B2" s="20" t="s">
        <v>3</v>
      </c>
      <c r="C2" s="20" t="s">
        <v>6</v>
      </c>
      <c r="D2" s="20" t="s">
        <v>142</v>
      </c>
      <c r="E2" s="20" t="s">
        <v>143</v>
      </c>
      <c r="F2" s="20" t="s">
        <v>144</v>
      </c>
      <c r="G2" s="21" t="s">
        <v>145</v>
      </c>
      <c r="H2" s="21" t="s">
        <v>146</v>
      </c>
      <c r="I2" s="21" t="s">
        <v>13</v>
      </c>
    </row>
    <row r="3" spans="1:9" s="26" customFormat="1" x14ac:dyDescent="0.2">
      <c r="A3" s="22">
        <f>ROW()-2</f>
        <v>1</v>
      </c>
      <c r="B3" s="23" t="s">
        <v>24</v>
      </c>
      <c r="C3" s="22" t="str">
        <f>VLOOKUP($B3,ЛСР!$B$6:$M$145,4,0)</f>
        <v>м2</v>
      </c>
      <c r="D3" s="25">
        <f>SUMIF(ЛСР!$B$6:$B$145,Работы!B3,ЛСР!$G$6:$G$145)</f>
        <v>1039.07</v>
      </c>
      <c r="E3" s="25">
        <f>SUMIF(ЛСР!$B$6:$B$145,Работы!B3,ЛСР!$H$6:$H$145)</f>
        <v>1068.92</v>
      </c>
      <c r="F3" s="25">
        <f>SUM(D3:E3)</f>
        <v>2107.9899999999998</v>
      </c>
      <c r="G3" s="25"/>
      <c r="H3" s="25">
        <f>ROUND(G3*F3,2)</f>
        <v>0</v>
      </c>
      <c r="I3" s="24" t="str">
        <f>VLOOKUP($B3,ЛСР!$B$8:$M$145,11,0)</f>
        <v>в т.ч. в местах примыкания</v>
      </c>
    </row>
    <row r="4" spans="1:9" s="26" customFormat="1" ht="25.5" x14ac:dyDescent="0.2">
      <c r="A4" s="22">
        <f t="shared" ref="A4:A23" si="0">ROW()-2</f>
        <v>2</v>
      </c>
      <c r="B4" s="23" t="s">
        <v>32</v>
      </c>
      <c r="C4" s="22" t="str">
        <f>VLOOKUP($B4,ЛСР!$B$6:$M$145,4,0)</f>
        <v>м2</v>
      </c>
      <c r="D4" s="25">
        <f>SUMIF(ЛСР!$B$6:$B$145,Работы!B4,ЛСР!$G$6:$G$145)</f>
        <v>483.16</v>
      </c>
      <c r="E4" s="25">
        <f>SUMIF(ЛСР!$B$6:$B$145,Работы!B4,ЛСР!$H$6:$H$145)</f>
        <v>488.32</v>
      </c>
      <c r="F4" s="25">
        <f t="shared" ref="F4:F23" si="1">SUM(D4:E4)</f>
        <v>971.48</v>
      </c>
      <c r="G4" s="25"/>
      <c r="H4" s="25">
        <f t="shared" ref="H4:H23" si="2">ROUND(G4*F4,2)</f>
        <v>0</v>
      </c>
      <c r="I4" s="24">
        <f>VLOOKUP($B4,ЛСР!$B$8:$M$145,11,0)</f>
        <v>0</v>
      </c>
    </row>
    <row r="5" spans="1:9" x14ac:dyDescent="0.2">
      <c r="A5" s="22">
        <f t="shared" si="0"/>
        <v>3</v>
      </c>
      <c r="B5" s="39" t="s">
        <v>40</v>
      </c>
      <c r="C5" s="22" t="str">
        <f>VLOOKUP($B5,ЛСР!$B$6:$M$145,4,0)</f>
        <v>м2</v>
      </c>
      <c r="D5" s="25">
        <f>SUMIF(ЛСР!$B$6:$B$145,Работы!B5,ЛСР!$G$6:$G$145)</f>
        <v>483.16</v>
      </c>
      <c r="E5" s="25">
        <f>SUMIF(ЛСР!$B$6:$B$145,Работы!B5,ЛСР!$H$6:$H$145)</f>
        <v>488.32</v>
      </c>
      <c r="F5" s="25">
        <f t="shared" si="1"/>
        <v>971.48</v>
      </c>
      <c r="G5" s="25"/>
      <c r="H5" s="25">
        <f t="shared" si="2"/>
        <v>0</v>
      </c>
      <c r="I5" s="24">
        <f>VLOOKUP($B5,ЛСР!$B$8:$M$145,11,0)</f>
        <v>0</v>
      </c>
    </row>
    <row r="6" spans="1:9" x14ac:dyDescent="0.2">
      <c r="A6" s="22">
        <f t="shared" si="0"/>
        <v>4</v>
      </c>
      <c r="B6" s="39" t="s">
        <v>46</v>
      </c>
      <c r="C6" s="22" t="str">
        <f>VLOOKUP($B6,ЛСР!$B$6:$M$145,4,0)</f>
        <v>м2</v>
      </c>
      <c r="D6" s="25">
        <f>SUMIF(ЛСР!$B$6:$B$145,Работы!B6,ЛСР!$G$6:$G$145)</f>
        <v>488.4</v>
      </c>
      <c r="E6" s="25">
        <f>SUMIF(ЛСР!$B$6:$B$145,Работы!B6,ЛСР!$H$6:$H$145)</f>
        <v>488.32</v>
      </c>
      <c r="F6" s="25">
        <f t="shared" si="1"/>
        <v>976.72</v>
      </c>
      <c r="G6" s="25"/>
      <c r="H6" s="25">
        <f t="shared" si="2"/>
        <v>0</v>
      </c>
      <c r="I6" s="24">
        <f>VLOOKUP($B6,ЛСР!$B$8:$M$145,11,0)</f>
        <v>0</v>
      </c>
    </row>
    <row r="7" spans="1:9" ht="25.5" x14ac:dyDescent="0.2">
      <c r="A7" s="22">
        <f t="shared" si="0"/>
        <v>5</v>
      </c>
      <c r="B7" s="39" t="s">
        <v>51</v>
      </c>
      <c r="C7" s="22" t="str">
        <f>VLOOKUP($B7,ЛСР!$B$6:$M$145,4,0)</f>
        <v>м2</v>
      </c>
      <c r="D7" s="25">
        <f>SUMIF(ЛСР!$B$6:$B$145,Работы!B7,ЛСР!$G$6:$G$145)</f>
        <v>483.16</v>
      </c>
      <c r="E7" s="25">
        <f>SUMIF(ЛСР!$B$6:$B$145,Работы!B7,ЛСР!$H$6:$H$145)</f>
        <v>488.32</v>
      </c>
      <c r="F7" s="25">
        <f t="shared" si="1"/>
        <v>971.48</v>
      </c>
      <c r="G7" s="25"/>
      <c r="H7" s="25">
        <f t="shared" si="2"/>
        <v>0</v>
      </c>
      <c r="I7" s="24">
        <f>VLOOKUP($B7,ЛСР!$B$8:$M$145,11,0)</f>
        <v>0</v>
      </c>
    </row>
    <row r="8" spans="1:9" x14ac:dyDescent="0.2">
      <c r="A8" s="22">
        <f t="shared" si="0"/>
        <v>6</v>
      </c>
      <c r="B8" s="39" t="s">
        <v>58</v>
      </c>
      <c r="C8" s="22" t="str">
        <f>VLOOKUP($B8,ЛСР!$B$6:$M$145,4,0)</f>
        <v>м2</v>
      </c>
      <c r="D8" s="25">
        <f>SUMIF(ЛСР!$B$6:$B$145,Работы!B8,ЛСР!$G$6:$G$145)</f>
        <v>483.16</v>
      </c>
      <c r="E8" s="25">
        <f>SUMIF(ЛСР!$B$6:$B$145,Работы!B8,ЛСР!$H$6:$H$145)</f>
        <v>488.32</v>
      </c>
      <c r="F8" s="25">
        <f t="shared" si="1"/>
        <v>971.48</v>
      </c>
      <c r="G8" s="25"/>
      <c r="H8" s="25">
        <f t="shared" si="2"/>
        <v>0</v>
      </c>
      <c r="I8" s="24" t="str">
        <f>VLOOKUP($B8,ЛСР!$B$8:$M$145,11,0)</f>
        <v>толщ.50-250мм</v>
      </c>
    </row>
    <row r="9" spans="1:9" ht="25.5" x14ac:dyDescent="0.2">
      <c r="A9" s="22">
        <f t="shared" si="0"/>
        <v>7</v>
      </c>
      <c r="B9" s="39" t="s">
        <v>62</v>
      </c>
      <c r="C9" s="22" t="str">
        <f>VLOOKUP($B9,ЛСР!$B$6:$M$145,4,0)</f>
        <v>м2</v>
      </c>
      <c r="D9" s="25">
        <f>SUMIF(ЛСР!$B$6:$B$145,Работы!B9,ЛСР!$G$6:$G$145)</f>
        <v>2.4900000000000002</v>
      </c>
      <c r="E9" s="25">
        <f>SUMIF(ЛСР!$B$6:$B$145,Работы!B9,ЛСР!$H$6:$H$145)</f>
        <v>0</v>
      </c>
      <c r="F9" s="25">
        <f t="shared" si="1"/>
        <v>2.4900000000000002</v>
      </c>
      <c r="G9" s="25"/>
      <c r="H9" s="25">
        <f t="shared" si="2"/>
        <v>0</v>
      </c>
      <c r="I9" s="24">
        <f>VLOOKUP($B9,ЛСР!$B$8:$M$145,11,0)</f>
        <v>0</v>
      </c>
    </row>
    <row r="10" spans="1:9" x14ac:dyDescent="0.2">
      <c r="A10" s="22">
        <f t="shared" si="0"/>
        <v>8</v>
      </c>
      <c r="B10" s="39" t="s">
        <v>65</v>
      </c>
      <c r="C10" s="22" t="str">
        <f>VLOOKUP($B10,ЛСР!$B$6:$M$145,4,0)</f>
        <v>м2</v>
      </c>
      <c r="D10" s="25">
        <f>SUMIF(ЛСР!$B$6:$B$145,Работы!B10,ЛСР!$G$6:$G$145)</f>
        <v>137.99</v>
      </c>
      <c r="E10" s="25">
        <f>SUMIF(ЛСР!$B$6:$B$145,Работы!B10,ЛСР!$H$6:$H$145)</f>
        <v>124.19</v>
      </c>
      <c r="F10" s="25">
        <f t="shared" si="1"/>
        <v>262.18</v>
      </c>
      <c r="G10" s="25"/>
      <c r="H10" s="25">
        <f t="shared" si="2"/>
        <v>0</v>
      </c>
      <c r="I10" s="24">
        <f>VLOOKUP($B10,ЛСР!$B$8:$M$145,11,0)</f>
        <v>0</v>
      </c>
    </row>
    <row r="11" spans="1:9" ht="25.5" x14ac:dyDescent="0.2">
      <c r="A11" s="22">
        <f t="shared" si="0"/>
        <v>9</v>
      </c>
      <c r="B11" s="39" t="s">
        <v>71</v>
      </c>
      <c r="C11" s="22" t="str">
        <f>VLOOKUP($B11,ЛСР!$B$6:$M$145,4,0)</f>
        <v>пог. м</v>
      </c>
      <c r="D11" s="25">
        <f>SUMIF(ЛСР!$B$6:$B$145,Работы!B11,ЛСР!$G$6:$G$145)</f>
        <v>96.43</v>
      </c>
      <c r="E11" s="25">
        <f>SUMIF(ЛСР!$B$6:$B$145,Работы!B11,ЛСР!$H$6:$H$145)</f>
        <v>103.89</v>
      </c>
      <c r="F11" s="25">
        <f t="shared" si="1"/>
        <v>200.32</v>
      </c>
      <c r="G11" s="25"/>
      <c r="H11" s="25">
        <f t="shared" si="2"/>
        <v>0</v>
      </c>
      <c r="I11" s="24">
        <f>VLOOKUP($B11,ЛСР!$B$8:$M$145,11,0)</f>
        <v>0</v>
      </c>
    </row>
    <row r="12" spans="1:9" x14ac:dyDescent="0.2">
      <c r="A12" s="22">
        <f t="shared" si="0"/>
        <v>10</v>
      </c>
      <c r="B12" s="39" t="s">
        <v>77</v>
      </c>
      <c r="C12" s="22" t="str">
        <f>VLOOKUP($B12,ЛСР!$B$6:$M$145,4,0)</f>
        <v>м2</v>
      </c>
      <c r="D12" s="25">
        <f>SUMIF(ЛСР!$B$6:$B$145,Работы!B12,ЛСР!$G$6:$G$145)</f>
        <v>152.66999999999999</v>
      </c>
      <c r="E12" s="25">
        <f>SUMIF(ЛСР!$B$6:$B$145,Работы!B12,ЛСР!$H$6:$H$145)</f>
        <v>184.25</v>
      </c>
      <c r="F12" s="25">
        <f t="shared" si="1"/>
        <v>336.91999999999996</v>
      </c>
      <c r="G12" s="25"/>
      <c r="H12" s="25">
        <f t="shared" si="2"/>
        <v>0</v>
      </c>
      <c r="I12" s="24">
        <f>VLOOKUP($B12,ЛСР!$B$8:$M$145,11,0)</f>
        <v>0</v>
      </c>
    </row>
    <row r="13" spans="1:9" ht="25.5" x14ac:dyDescent="0.2">
      <c r="A13" s="22">
        <f t="shared" si="0"/>
        <v>11</v>
      </c>
      <c r="B13" s="39" t="s">
        <v>78</v>
      </c>
      <c r="C13" s="22" t="str">
        <f>VLOOKUP($B13,ЛСР!$B$6:$M$145,4,0)</f>
        <v>м2</v>
      </c>
      <c r="D13" s="25">
        <f>SUMIF(ЛСР!$B$6:$B$145,Работы!B13,ЛСР!$G$6:$G$145)</f>
        <v>39.67</v>
      </c>
      <c r="E13" s="25">
        <f>SUMIF(ЛСР!$B$6:$B$145,Работы!B13,ЛСР!$H$6:$H$145)</f>
        <v>38.299999999999997</v>
      </c>
      <c r="F13" s="25">
        <f t="shared" si="1"/>
        <v>77.97</v>
      </c>
      <c r="G13" s="25"/>
      <c r="H13" s="25">
        <f t="shared" si="2"/>
        <v>0</v>
      </c>
      <c r="I13" s="24" t="str">
        <f>VLOOKUP($B13,ЛСР!$B$8:$M$145,11,0)</f>
        <v>Утеплитель до пола (вентшахты), присоединение секций h=0,4 м</v>
      </c>
    </row>
    <row r="14" spans="1:9" ht="25.5" x14ac:dyDescent="0.2">
      <c r="A14" s="22">
        <f t="shared" si="0"/>
        <v>12</v>
      </c>
      <c r="B14" s="39" t="s">
        <v>82</v>
      </c>
      <c r="C14" s="22" t="str">
        <f>VLOOKUP($B14,ЛСР!$B$6:$M$145,4,0)</f>
        <v>м2</v>
      </c>
      <c r="D14" s="25">
        <f>SUMIF(ЛСР!$B$6:$B$145,Работы!B14,ЛСР!$G$6:$G$145)</f>
        <v>375.52</v>
      </c>
      <c r="E14" s="25">
        <f>SUMIF(ЛСР!$B$6:$B$145,Работы!B14,ЛСР!$H$6:$H$145)</f>
        <v>395.95</v>
      </c>
      <c r="F14" s="25">
        <f t="shared" si="1"/>
        <v>771.47</v>
      </c>
      <c r="G14" s="25"/>
      <c r="H14" s="25">
        <f t="shared" si="2"/>
        <v>0</v>
      </c>
      <c r="I14" s="24" t="str">
        <f>VLOOKUP($B14,ЛСР!$B$8:$M$145,11,0)</f>
        <v>вентшахты, кладки вокруг фановых труб, парапет</v>
      </c>
    </row>
    <row r="15" spans="1:9" x14ac:dyDescent="0.2">
      <c r="A15" s="22">
        <f t="shared" si="0"/>
        <v>13</v>
      </c>
      <c r="B15" s="39" t="s">
        <v>91</v>
      </c>
      <c r="C15" s="22" t="str">
        <f>VLOOKUP($B15,ЛСР!$B$6:$M$145,4,0)</f>
        <v>м2</v>
      </c>
      <c r="D15" s="25">
        <f>SUMIF(ЛСР!$B$6:$B$145,Работы!B15,ЛСР!$G$6:$G$145)</f>
        <v>92.55</v>
      </c>
      <c r="E15" s="25">
        <f>SUMIF(ЛСР!$B$6:$B$145,Работы!B15,ЛСР!$H$6:$H$145)</f>
        <v>94.22</v>
      </c>
      <c r="F15" s="25">
        <f t="shared" si="1"/>
        <v>186.76999999999998</v>
      </c>
      <c r="G15" s="25"/>
      <c r="H15" s="25">
        <f t="shared" si="2"/>
        <v>0</v>
      </c>
      <c r="I15" s="24" t="str">
        <f>VLOOKUP($B15,ЛСР!$B$8:$M$145,11,0)</f>
        <v>200мм - углы, 150мм- стыки</v>
      </c>
    </row>
    <row r="16" spans="1:9" x14ac:dyDescent="0.2">
      <c r="A16" s="22">
        <f t="shared" si="0"/>
        <v>14</v>
      </c>
      <c r="B16" s="39" t="s">
        <v>93</v>
      </c>
      <c r="C16" s="22" t="str">
        <f>VLOOKUP($B16,ЛСР!$B$6:$M$145,4,0)</f>
        <v>м2</v>
      </c>
      <c r="D16" s="25">
        <f>SUMIF(ЛСР!$B$6:$B$145,Работы!B16,ЛСР!$G$6:$G$145)</f>
        <v>35.630000000000003</v>
      </c>
      <c r="E16" s="25">
        <f>SUMIF(ЛСР!$B$6:$B$145,Работы!B16,ЛСР!$H$6:$H$145)</f>
        <v>36.4</v>
      </c>
      <c r="F16" s="25">
        <f t="shared" si="1"/>
        <v>72.03</v>
      </c>
      <c r="G16" s="25"/>
      <c r="H16" s="25">
        <f t="shared" si="2"/>
        <v>0</v>
      </c>
      <c r="I16" s="24">
        <f>VLOOKUP($B16,ЛСР!$B$8:$M$145,11,0)</f>
        <v>0</v>
      </c>
    </row>
    <row r="17" spans="1:11" ht="25.5" x14ac:dyDescent="0.2">
      <c r="A17" s="22">
        <f t="shared" si="0"/>
        <v>15</v>
      </c>
      <c r="B17" s="39" t="s">
        <v>96</v>
      </c>
      <c r="C17" s="22" t="str">
        <f>VLOOKUP($B17,ЛСР!$B$6:$M$145,4,0)</f>
        <v>м2</v>
      </c>
      <c r="D17" s="25">
        <f>SUMIF(ЛСР!$B$6:$B$145,Работы!B17,ЛСР!$G$6:$G$145)</f>
        <v>550.66999999999996</v>
      </c>
      <c r="E17" s="25">
        <f>SUMIF(ЛСР!$B$6:$B$145,Работы!B17,ЛСР!$H$6:$H$145)</f>
        <v>580.6</v>
      </c>
      <c r="F17" s="25">
        <f t="shared" si="1"/>
        <v>1131.27</v>
      </c>
      <c r="G17" s="25"/>
      <c r="H17" s="25">
        <f t="shared" si="2"/>
        <v>0</v>
      </c>
      <c r="I17" s="24">
        <f>VLOOKUP($B17,ЛСР!$B$8:$M$145,11,0)</f>
        <v>0</v>
      </c>
    </row>
    <row r="18" spans="1:11" ht="25.5" x14ac:dyDescent="0.2">
      <c r="A18" s="22">
        <f t="shared" si="0"/>
        <v>16</v>
      </c>
      <c r="B18" s="39" t="s">
        <v>100</v>
      </c>
      <c r="C18" s="22" t="str">
        <f>VLOOKUP($B18,ЛСР!$B$6:$M$145,4,0)</f>
        <v>м2</v>
      </c>
      <c r="D18" s="25">
        <f>SUMIF(ЛСР!$B$6:$B$145,Работы!B18,ЛСР!$G$6:$G$145)</f>
        <v>131.63999999999999</v>
      </c>
      <c r="E18" s="25">
        <f>SUMIF(ЛСР!$B$6:$B$145,Работы!B18,ЛСР!$H$6:$H$145)</f>
        <v>140.66999999999999</v>
      </c>
      <c r="F18" s="25">
        <f t="shared" si="1"/>
        <v>272.30999999999995</v>
      </c>
      <c r="G18" s="25"/>
      <c r="H18" s="25">
        <f t="shared" si="2"/>
        <v>0</v>
      </c>
      <c r="I18" s="24">
        <f>VLOOKUP($B18,ЛСР!$B$8:$M$145,11,0)</f>
        <v>0</v>
      </c>
    </row>
    <row r="19" spans="1:11" x14ac:dyDescent="0.2">
      <c r="A19" s="22">
        <f t="shared" si="0"/>
        <v>17</v>
      </c>
      <c r="B19" s="39" t="s">
        <v>101</v>
      </c>
      <c r="C19" s="22" t="str">
        <f>VLOOKUP($B19,ЛСР!$B$6:$M$145,4,0)</f>
        <v>м2</v>
      </c>
      <c r="D19" s="25">
        <f>SUMIF(ЛСР!$B$6:$B$145,Работы!B19,ЛСР!$G$6:$G$145)</f>
        <v>53</v>
      </c>
      <c r="E19" s="25">
        <f>SUMIF(ЛСР!$B$6:$B$145,Работы!B19,ЛСР!$H$6:$H$145)</f>
        <v>57.96</v>
      </c>
      <c r="F19" s="25">
        <f t="shared" si="1"/>
        <v>110.96000000000001</v>
      </c>
      <c r="G19" s="25"/>
      <c r="H19" s="25">
        <f t="shared" si="2"/>
        <v>0</v>
      </c>
      <c r="I19" s="24">
        <f>VLOOKUP($B19,ЛСР!$B$8:$M$145,11,0)</f>
        <v>0</v>
      </c>
    </row>
    <row r="20" spans="1:11" x14ac:dyDescent="0.2">
      <c r="A20" s="22">
        <f t="shared" si="0"/>
        <v>18</v>
      </c>
      <c r="B20" s="39" t="s">
        <v>106</v>
      </c>
      <c r="C20" s="22" t="str">
        <f>VLOOKUP($B20,ЛСР!$B$6:$M$145,4,0)</f>
        <v>шт</v>
      </c>
      <c r="D20" s="25">
        <f>SUMIF(ЛСР!$B$6:$B$145,Работы!B20,ЛСР!$G$6:$G$145)</f>
        <v>11</v>
      </c>
      <c r="E20" s="25">
        <f>SUMIF(ЛСР!$B$6:$B$145,Работы!B20,ЛСР!$H$6:$H$145)</f>
        <v>11</v>
      </c>
      <c r="F20" s="25">
        <f t="shared" si="1"/>
        <v>22</v>
      </c>
      <c r="G20" s="25"/>
      <c r="H20" s="25">
        <f t="shared" si="2"/>
        <v>0</v>
      </c>
      <c r="I20" s="24">
        <f>VLOOKUP($B20,ЛСР!$B$8:$M$145,11,0)</f>
        <v>0</v>
      </c>
    </row>
    <row r="21" spans="1:11" x14ac:dyDescent="0.2">
      <c r="A21" s="22">
        <f t="shared" si="0"/>
        <v>19</v>
      </c>
      <c r="B21" s="39" t="s">
        <v>108</v>
      </c>
      <c r="C21" s="22" t="str">
        <f>VLOOKUP($B21,ЛСР!$B$6:$M$145,4,0)</f>
        <v>шт</v>
      </c>
      <c r="D21" s="25">
        <f>SUMIF(ЛСР!$B$6:$B$145,Работы!B21,ЛСР!$G$6:$G$145)</f>
        <v>3</v>
      </c>
      <c r="E21" s="25">
        <f>SUMIF(ЛСР!$B$6:$B$145,Работы!B21,ЛСР!$H$6:$H$145)</f>
        <v>2</v>
      </c>
      <c r="F21" s="25">
        <f t="shared" si="1"/>
        <v>5</v>
      </c>
      <c r="G21" s="25"/>
      <c r="H21" s="25">
        <f t="shared" si="2"/>
        <v>0</v>
      </c>
      <c r="I21" s="24">
        <f>VLOOKUP($B21,ЛСР!$B$8:$M$145,11,0)</f>
        <v>0</v>
      </c>
    </row>
    <row r="22" spans="1:11" x14ac:dyDescent="0.2">
      <c r="A22" s="22">
        <f t="shared" si="0"/>
        <v>20</v>
      </c>
      <c r="B22" s="39" t="s">
        <v>114</v>
      </c>
      <c r="C22" s="22" t="s">
        <v>72</v>
      </c>
      <c r="D22" s="25">
        <f>SUMIF(ЛСР!$B$6:$B$145,Работы!B22,ЛСР!$G$6:$G$145)</f>
        <v>15.17</v>
      </c>
      <c r="E22" s="25">
        <f>SUMIF(ЛСР!$B$6:$B$145,Работы!B22,ЛСР!$H$6:$H$145)</f>
        <v>0</v>
      </c>
      <c r="F22" s="25">
        <f t="shared" si="1"/>
        <v>15.17</v>
      </c>
      <c r="G22" s="25"/>
      <c r="H22" s="25">
        <f t="shared" si="2"/>
        <v>0</v>
      </c>
      <c r="I22" s="24">
        <f>VLOOKUP($B22,ЛСР!$B$8:$M$145,11,0)</f>
        <v>0</v>
      </c>
    </row>
    <row r="23" spans="1:11" x14ac:dyDescent="0.2">
      <c r="A23" s="22">
        <f t="shared" si="0"/>
        <v>21</v>
      </c>
      <c r="B23" s="39" t="s">
        <v>125</v>
      </c>
      <c r="C23" s="22" t="s">
        <v>72</v>
      </c>
      <c r="D23" s="25">
        <f>SUMIF(ЛСР!$B$6:$B$145,Работы!B23,ЛСР!$G$6:$G$145)</f>
        <v>0</v>
      </c>
      <c r="E23" s="25">
        <f>SUMIF(ЛСР!$B$6:$B$145,Работы!B23,ЛСР!$H$6:$H$145)</f>
        <v>111.52</v>
      </c>
      <c r="F23" s="25">
        <f t="shared" si="1"/>
        <v>111.52</v>
      </c>
      <c r="G23" s="25"/>
      <c r="H23" s="25">
        <f t="shared" si="2"/>
        <v>0</v>
      </c>
      <c r="I23" s="24">
        <f>VLOOKUP($B23,ЛСР!$B$8:$M$145,11,0)</f>
        <v>0</v>
      </c>
    </row>
    <row r="24" spans="1:11" x14ac:dyDescent="0.2">
      <c r="G24" s="27" t="s">
        <v>147</v>
      </c>
      <c r="H24" s="28">
        <f>SUM(H3:H23)</f>
        <v>0</v>
      </c>
    </row>
    <row r="25" spans="1:11" x14ac:dyDescent="0.2">
      <c r="G25" s="27" t="s">
        <v>148</v>
      </c>
      <c r="H25" s="28">
        <f>H24-ЛСР!K147</f>
        <v>0</v>
      </c>
    </row>
    <row r="28" spans="1:11" ht="13.5" x14ac:dyDescent="0.2">
      <c r="A28" s="30"/>
      <c r="B28" s="31"/>
      <c r="C28" s="30"/>
      <c r="D28" s="30"/>
      <c r="E28" s="30"/>
      <c r="F28" s="30"/>
      <c r="G28" s="30"/>
      <c r="H28" s="32"/>
      <c r="I28" s="30"/>
      <c r="J28" s="30"/>
      <c r="K28" s="30"/>
    </row>
    <row r="29" spans="1:11" x14ac:dyDescent="0.2">
      <c r="A29" s="33"/>
      <c r="B29" s="34"/>
      <c r="C29" s="34"/>
      <c r="D29" s="34"/>
      <c r="E29" s="34"/>
      <c r="F29" s="34"/>
      <c r="G29" s="34"/>
      <c r="H29" s="34"/>
      <c r="I29" s="34"/>
      <c r="J29" s="40"/>
      <c r="K29" s="40"/>
    </row>
    <row r="30" spans="1:11" x14ac:dyDescent="0.2">
      <c r="A30" s="35"/>
      <c r="B30" s="98"/>
      <c r="C30" s="98"/>
      <c r="D30" s="98"/>
      <c r="E30" s="98"/>
      <c r="F30" s="98"/>
      <c r="G30" s="98"/>
      <c r="H30" s="98"/>
      <c r="I30" s="98"/>
      <c r="J30" s="40"/>
      <c r="K30" s="40"/>
    </row>
    <row r="31" spans="1:11" x14ac:dyDescent="0.2">
      <c r="A31" s="33"/>
      <c r="B31" s="36"/>
      <c r="C31" s="37"/>
      <c r="D31" s="37"/>
      <c r="E31" s="37"/>
      <c r="F31" s="37"/>
      <c r="G31" s="37"/>
      <c r="H31" s="37"/>
      <c r="I31" s="37"/>
      <c r="J31" s="37"/>
      <c r="K31" s="37"/>
    </row>
    <row r="32" spans="1:11" x14ac:dyDescent="0.2">
      <c r="A32" s="33"/>
      <c r="B32" s="38"/>
      <c r="C32" s="38"/>
      <c r="D32" s="38"/>
      <c r="E32" s="38"/>
      <c r="F32" s="38"/>
      <c r="G32" s="38"/>
      <c r="H32" s="38"/>
      <c r="I32" s="38"/>
    </row>
  </sheetData>
  <mergeCells count="1">
    <mergeCell ref="B30:I30"/>
  </mergeCells>
  <conditionalFormatting sqref="B33:B1048576 B1:B27">
    <cfRule type="duplicateValues" dxfId="7" priority="3"/>
  </conditionalFormatting>
  <conditionalFormatting sqref="B33:B1048576 B1:B31">
    <cfRule type="duplicateValues" dxfId="6" priority="1"/>
  </conditionalFormatting>
  <conditionalFormatting sqref="I3:I23">
    <cfRule type="cellIs" dxfId="5" priority="2" operator="equal">
      <formula>0</formula>
    </cfRule>
  </conditionalFormatting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K46"/>
  <sheetViews>
    <sheetView workbookViewId="0">
      <pane ySplit="3" topLeftCell="A4" activePane="bottomLeft" state="frozen"/>
      <selection pane="bottomLeft" activeCell="D22" sqref="D22:D23"/>
    </sheetView>
  </sheetViews>
  <sheetFormatPr defaultRowHeight="12.75" x14ac:dyDescent="0.2"/>
  <cols>
    <col min="1" max="1" width="14.1640625" style="18" customWidth="1"/>
    <col min="2" max="2" width="65.6640625" style="19" customWidth="1"/>
    <col min="3" max="3" width="19.5" style="18" customWidth="1"/>
    <col min="4" max="4" width="41" style="19" customWidth="1"/>
    <col min="5" max="5" width="9.33203125" style="18"/>
    <col min="6" max="7" width="11.5" style="18" customWidth="1"/>
    <col min="8" max="8" width="13.33203125" style="18" customWidth="1"/>
    <col min="9" max="9" width="12.33203125" style="18" bestFit="1" customWidth="1"/>
    <col min="10" max="10" width="16.6640625" style="18" bestFit="1" customWidth="1"/>
    <col min="11" max="11" width="27" style="18" customWidth="1"/>
    <col min="12" max="16384" width="9.33203125" style="18"/>
  </cols>
  <sheetData>
    <row r="1" spans="1:11" x14ac:dyDescent="0.2">
      <c r="B1" s="19" t="s">
        <v>140</v>
      </c>
    </row>
    <row r="2" spans="1:11" ht="25.5" x14ac:dyDescent="0.2">
      <c r="A2" s="41" t="s">
        <v>2</v>
      </c>
      <c r="B2" s="20" t="s">
        <v>3</v>
      </c>
      <c r="C2" s="20" t="s">
        <v>141</v>
      </c>
      <c r="D2" s="20" t="s">
        <v>5</v>
      </c>
      <c r="E2" s="20" t="s">
        <v>6</v>
      </c>
      <c r="F2" s="20" t="s">
        <v>142</v>
      </c>
      <c r="G2" s="20" t="s">
        <v>143</v>
      </c>
      <c r="H2" s="20" t="s">
        <v>144</v>
      </c>
      <c r="I2" s="21" t="s">
        <v>145</v>
      </c>
      <c r="J2" s="21" t="s">
        <v>146</v>
      </c>
      <c r="K2" s="21" t="s">
        <v>13</v>
      </c>
    </row>
    <row r="3" spans="1:11" s="26" customFormat="1" x14ac:dyDescent="0.2">
      <c r="A3" s="22">
        <f t="shared" ref="A3:A37" si="0">ROW()-2</f>
        <v>1</v>
      </c>
      <c r="B3" s="23" t="s">
        <v>158</v>
      </c>
      <c r="C3" s="24" t="str">
        <f>VLOOKUP($B3,ЛСР!$B$6:$M$145,2,0)</f>
        <v>№01, Технониколь</v>
      </c>
      <c r="D3" s="24" t="str">
        <f>VLOOKUP($B3,ЛСР!$B$6:$M$145,3,0)</f>
        <v>битумный</v>
      </c>
      <c r="E3" s="22" t="str">
        <f>VLOOKUP($B3,ЛСР!$B$6:$M$145,4,0)</f>
        <v>л (дм3)</v>
      </c>
      <c r="F3" s="25">
        <f>SUMIF(ЛСР!$B$6:$B$145,$B3,ЛСР!$G$6:$G$145)</f>
        <v>311.71999999999997</v>
      </c>
      <c r="G3" s="25">
        <f>SUMIF(ЛСР!$B$6:$B$145,$B3,ЛСР!$H$6:$H$145)</f>
        <v>320.67599999999999</v>
      </c>
      <c r="H3" s="25">
        <f>SUM(F3:G3)</f>
        <v>632.39599999999996</v>
      </c>
      <c r="I3" s="25"/>
      <c r="J3" s="25">
        <f>ROUND(I3*H3,2)</f>
        <v>0</v>
      </c>
      <c r="K3" s="24" t="str">
        <f>VLOOKUP($B3,ЛСР!B6:M145,11,0)</f>
        <v>№01, Технониколь</v>
      </c>
    </row>
    <row r="4" spans="1:11" s="26" customFormat="1" x14ac:dyDescent="0.2">
      <c r="A4" s="22">
        <f t="shared" si="0"/>
        <v>2</v>
      </c>
      <c r="B4" s="23" t="s">
        <v>33</v>
      </c>
      <c r="C4" s="24" t="str">
        <f>VLOOKUP($B4,ЛСР!$B$6:$M$145,2,0)</f>
        <v>D, Изоспан</v>
      </c>
      <c r="D4" s="24" t="str">
        <f>VLOOKUP($B4,ЛСР!$B$6:$M$145,3,0)</f>
        <v>гидропароизоляционная</v>
      </c>
      <c r="E4" s="22" t="str">
        <f>VLOOKUP($B4,ЛСР!$B$6:$M$145,4,0)</f>
        <v>м2</v>
      </c>
      <c r="F4" s="25">
        <f>SUMIF(ЛСР!$B$6:$B$145,$B4,ЛСР!$G$6:$G$145)</f>
        <v>680</v>
      </c>
      <c r="G4" s="25">
        <f>SUMIF(ЛСР!$B$6:$B$145,$B4,ЛСР!$H$6:$H$145)</f>
        <v>695</v>
      </c>
      <c r="H4" s="25">
        <f t="shared" ref="H4:H37" si="1">SUM(F4:G4)</f>
        <v>1375</v>
      </c>
      <c r="I4" s="25"/>
      <c r="J4" s="25">
        <f t="shared" ref="J4:J37" si="2">ROUND(I4*H4,2)</f>
        <v>0</v>
      </c>
      <c r="K4" s="24" t="str">
        <f>VLOOKUP($B4,ЛСР!B7:M146,11,0)</f>
        <v>D, Изоспан</v>
      </c>
    </row>
    <row r="5" spans="1:11" s="26" customFormat="1" x14ac:dyDescent="0.2">
      <c r="A5" s="22">
        <f t="shared" si="0"/>
        <v>3</v>
      </c>
      <c r="B5" s="23" t="s">
        <v>161</v>
      </c>
      <c r="C5" s="24" t="str">
        <f>VLOOKUP($B5,ЛСР!$B$6:$M$145,2,0)</f>
        <v>KL+, Изоспан</v>
      </c>
      <c r="D5" s="24" t="str">
        <f>VLOOKUP($B5,ЛСР!$B$6:$M$145,3,0)</f>
        <v>усиленная двухсторонняя 25мм,25м</v>
      </c>
      <c r="E5" s="22" t="str">
        <f>VLOOKUP($B5,ЛСР!$B$6:$M$145,4,0)</f>
        <v>шт</v>
      </c>
      <c r="F5" s="25">
        <f>SUMIF(ЛСР!$B$6:$B$145,$B5,ЛСР!$G$6:$G$145)</f>
        <v>17</v>
      </c>
      <c r="G5" s="25">
        <f>SUMIF(ЛСР!$B$6:$B$145,$B5,ЛСР!$H$6:$H$145)</f>
        <v>18</v>
      </c>
      <c r="H5" s="25">
        <f t="shared" si="1"/>
        <v>35</v>
      </c>
      <c r="I5" s="25"/>
      <c r="J5" s="25">
        <f t="shared" si="2"/>
        <v>0</v>
      </c>
      <c r="K5" s="24" t="str">
        <f>VLOOKUP($B5,ЛСР!B8:M147,11,0)</f>
        <v>KL+, Изоспан</v>
      </c>
    </row>
    <row r="6" spans="1:11" s="26" customFormat="1" x14ac:dyDescent="0.2">
      <c r="A6" s="22">
        <f t="shared" si="0"/>
        <v>4</v>
      </c>
      <c r="B6" s="23" t="s">
        <v>175</v>
      </c>
      <c r="C6" s="24">
        <f>VLOOKUP($B6,ЛСР!$B$6:$M$145,2,0)</f>
        <v>0</v>
      </c>
      <c r="D6" s="24" t="str">
        <f>VLOOKUP($B6,ЛСР!$B$6:$M$145,3,0)</f>
        <v>экструзионный 1180х580х100мм 35кг/м3</v>
      </c>
      <c r="E6" s="22" t="str">
        <f>VLOOKUP($B6,ЛСР!$B$6:$M$145,4,0)</f>
        <v>м3</v>
      </c>
      <c r="F6" s="25">
        <f>SUMIF(ЛСР!$B$6:$B$145,$B6,ЛСР!$G$6:$G$145)</f>
        <v>99.53</v>
      </c>
      <c r="G6" s="25">
        <f>SUMIF(ЛСР!$B$6:$B$145,$B6,ЛСР!$H$6:$H$145)</f>
        <v>100.59</v>
      </c>
      <c r="H6" s="25">
        <f t="shared" si="1"/>
        <v>200.12</v>
      </c>
      <c r="I6" s="25"/>
      <c r="J6" s="25">
        <f t="shared" si="2"/>
        <v>0</v>
      </c>
      <c r="K6" s="24" t="str">
        <f>VLOOKUP($B6,ЛСР!B9:M148,11,0)</f>
        <v>В два слоя</v>
      </c>
    </row>
    <row r="7" spans="1:11" s="26" customFormat="1" x14ac:dyDescent="0.2">
      <c r="A7" s="22">
        <f t="shared" si="0"/>
        <v>5</v>
      </c>
      <c r="B7" s="23" t="s">
        <v>159</v>
      </c>
      <c r="C7" s="24">
        <f>VLOOKUP($B7,ЛСР!$B$6:$M$145,2,0)</f>
        <v>0</v>
      </c>
      <c r="D7" s="24" t="str">
        <f>VLOOKUP($B7,ЛСР!$B$6:$M$145,3,0)</f>
        <v>противопожарная</v>
      </c>
      <c r="E7" s="22" t="str">
        <f>VLOOKUP($B7,ЛСР!$B$6:$M$145,4,0)</f>
        <v>баллон</v>
      </c>
      <c r="F7" s="25">
        <f>SUMIF(ЛСР!$B$6:$B$145,$B7,ЛСР!$G$6:$G$145)</f>
        <v>25</v>
      </c>
      <c r="G7" s="25">
        <f>SUMIF(ЛСР!$B$6:$B$145,$B7,ЛСР!$H$6:$H$145)</f>
        <v>23</v>
      </c>
      <c r="H7" s="25">
        <f t="shared" si="1"/>
        <v>48</v>
      </c>
      <c r="I7" s="25"/>
      <c r="J7" s="25">
        <f t="shared" si="2"/>
        <v>0</v>
      </c>
      <c r="K7" s="24">
        <f>VLOOKUP($B7,ЛСР!B10:M149,11,0)</f>
        <v>0</v>
      </c>
    </row>
    <row r="8" spans="1:11" s="26" customFormat="1" x14ac:dyDescent="0.2">
      <c r="A8" s="22">
        <f t="shared" si="0"/>
        <v>6</v>
      </c>
      <c r="B8" s="23" t="s">
        <v>150</v>
      </c>
      <c r="C8" s="24">
        <f>VLOOKUP($B8,ЛСР!$B$6:$M$145,2,0)</f>
        <v>0</v>
      </c>
      <c r="D8" s="24" t="str">
        <f>VLOOKUP($B8,ЛСР!$B$6:$M$145,3,0)</f>
        <v>ЭКП 10х1м</v>
      </c>
      <c r="E8" s="22" t="str">
        <f>VLOOKUP($B8,ЛСР!$B$6:$M$145,4,0)</f>
        <v>м2</v>
      </c>
      <c r="F8" s="25">
        <f>SUMIF(ЛСР!$B$6:$B$145,$B8,ЛСР!$G$6:$G$145)</f>
        <v>1195.54</v>
      </c>
      <c r="G8" s="25">
        <f>SUMIF(ЛСР!$B$6:$B$145,$B8,ЛСР!$H$6:$H$145)</f>
        <v>1229.56</v>
      </c>
      <c r="H8" s="25">
        <f t="shared" si="1"/>
        <v>2425.1</v>
      </c>
      <c r="I8" s="25"/>
      <c r="J8" s="25">
        <f t="shared" si="2"/>
        <v>0</v>
      </c>
      <c r="K8" s="24">
        <f>VLOOKUP($B8,ЛСР!B11:M150,11,0)</f>
        <v>0</v>
      </c>
    </row>
    <row r="9" spans="1:11" s="26" customFormat="1" x14ac:dyDescent="0.2">
      <c r="A9" s="22">
        <f t="shared" si="0"/>
        <v>7</v>
      </c>
      <c r="B9" s="23" t="s">
        <v>151</v>
      </c>
      <c r="C9" s="24">
        <f>VLOOKUP($B9,ЛСР!$B$6:$M$145,2,0)</f>
        <v>0</v>
      </c>
      <c r="D9" s="24" t="str">
        <f>VLOOKUP($B9,ЛСР!$B$6:$M$145,3,0)</f>
        <v>ЭПП 10х1м</v>
      </c>
      <c r="E9" s="22" t="str">
        <f>VLOOKUP($B9,ЛСР!$B$6:$M$145,4,0)</f>
        <v>м2</v>
      </c>
      <c r="F9" s="25">
        <f>SUMIF(ЛСР!$B$6:$B$145,$B9,ЛСР!$G$6:$G$145)</f>
        <v>1270.96</v>
      </c>
      <c r="G9" s="25">
        <f>SUMIF(ЛСР!$B$6:$B$145,$B9,ЛСР!$H$6:$H$145)</f>
        <v>1301.6500000000001</v>
      </c>
      <c r="H9" s="25">
        <f t="shared" si="1"/>
        <v>2572.61</v>
      </c>
      <c r="I9" s="25"/>
      <c r="J9" s="25">
        <f t="shared" si="2"/>
        <v>0</v>
      </c>
      <c r="K9" s="24">
        <f>VLOOKUP($B9,ЛСР!B12:M151,11,0)</f>
        <v>0</v>
      </c>
    </row>
    <row r="10" spans="1:11" s="26" customFormat="1" x14ac:dyDescent="0.2">
      <c r="A10" s="22">
        <f t="shared" si="0"/>
        <v>8</v>
      </c>
      <c r="B10" s="23" t="s">
        <v>50</v>
      </c>
      <c r="C10" s="24">
        <f>VLOOKUP($B10,ЛСР!$B$6:$M$145,2,0)</f>
        <v>0</v>
      </c>
      <c r="D10" s="24">
        <f>VLOOKUP($B10,ЛСР!$B$6:$M$145,3,0)</f>
        <v>0</v>
      </c>
      <c r="E10" s="22" t="str">
        <f>VLOOKUP($B10,ЛСР!$B$6:$M$145,4,0)</f>
        <v>л (дм3)</v>
      </c>
      <c r="F10" s="25">
        <f>SUMIF(ЛСР!$B$6:$B$145,$B10,ЛСР!$G$6:$G$145)</f>
        <v>1180.8699999999999</v>
      </c>
      <c r="G10" s="25">
        <f>SUMIF(ЛСР!$B$6:$B$145,$B10,ЛСР!$H$6:$H$145)</f>
        <v>1218.55</v>
      </c>
      <c r="H10" s="25">
        <f t="shared" si="1"/>
        <v>2399.42</v>
      </c>
      <c r="I10" s="25"/>
      <c r="J10" s="25">
        <f t="shared" si="2"/>
        <v>0</v>
      </c>
      <c r="K10" s="24">
        <f>VLOOKUP($B10,ЛСР!B13:M152,11,0)</f>
        <v>0</v>
      </c>
    </row>
    <row r="11" spans="1:11" s="26" customFormat="1" x14ac:dyDescent="0.2">
      <c r="A11" s="22">
        <f t="shared" si="0"/>
        <v>9</v>
      </c>
      <c r="B11" s="23" t="s">
        <v>176</v>
      </c>
      <c r="C11" s="24">
        <f>VLOOKUP($B11,ЛСР!$B$6:$M$145,2,0)</f>
        <v>0</v>
      </c>
      <c r="D11" s="24" t="str">
        <f>VLOOKUP($B11,ЛСР!$B$6:$M$145,3,0)</f>
        <v>ЛП-П 10мм</v>
      </c>
      <c r="E11" s="22" t="str">
        <f>VLOOKUP($B11,ЛСР!$B$6:$M$145,4,0)</f>
        <v>м2</v>
      </c>
      <c r="F11" s="25">
        <f>SUMIF(ЛСР!$B$6:$B$145,$B11,ЛСР!$G$6:$G$145)</f>
        <v>1027.8879999999999</v>
      </c>
      <c r="G11" s="25">
        <f>SUMIF(ЛСР!$B$6:$B$145,$B11,ЛСР!$H$6:$H$145)</f>
        <v>1063.69</v>
      </c>
      <c r="H11" s="25">
        <f t="shared" si="1"/>
        <v>2091.578</v>
      </c>
      <c r="I11" s="25"/>
      <c r="J11" s="25">
        <f t="shared" si="2"/>
        <v>0</v>
      </c>
      <c r="K11" s="24" t="str">
        <f>VLOOKUP($B11,ЛСР!B14:M153,11,0)</f>
        <v>в 2 слоя</v>
      </c>
    </row>
    <row r="12" spans="1:11" s="26" customFormat="1" ht="25.5" x14ac:dyDescent="0.2">
      <c r="A12" s="22">
        <f t="shared" si="0"/>
        <v>10</v>
      </c>
      <c r="B12" s="23" t="s">
        <v>55</v>
      </c>
      <c r="C12" s="24">
        <f>VLOOKUP($B12,ЛСР!$B$6:$M$145,2,0)</f>
        <v>0</v>
      </c>
      <c r="D12" s="24" t="str">
        <f>VLOOKUP($B12,ЛСР!$B$6:$M$145,3,0)</f>
        <v>10мм двойной гнутый для плоского шифера</v>
      </c>
      <c r="E12" s="22" t="str">
        <f>VLOOKUP($B12,ЛСР!$B$6:$M$145,4,0)</f>
        <v>шт</v>
      </c>
      <c r="F12" s="25">
        <f>SUMIF(ЛСР!$B$6:$B$145,$B12,ЛСР!$G$6:$G$145)</f>
        <v>1934</v>
      </c>
      <c r="G12" s="25">
        <f>SUMIF(ЛСР!$B$6:$B$145,$B12,ЛСР!$H$6:$H$145)</f>
        <v>1954</v>
      </c>
      <c r="H12" s="25">
        <f t="shared" si="1"/>
        <v>3888</v>
      </c>
      <c r="I12" s="25"/>
      <c r="J12" s="25">
        <f t="shared" si="2"/>
        <v>0</v>
      </c>
      <c r="K12" s="24">
        <f>VLOOKUP($B12,ЛСР!B15:M154,11,0)</f>
        <v>0</v>
      </c>
    </row>
    <row r="13" spans="1:11" s="26" customFormat="1" x14ac:dyDescent="0.2">
      <c r="A13" s="22">
        <f t="shared" si="0"/>
        <v>11</v>
      </c>
      <c r="B13" s="23" t="s">
        <v>160</v>
      </c>
      <c r="C13" s="24">
        <f>VLOOKUP($B13,ЛСР!$B$6:$M$145,2,0)</f>
        <v>0</v>
      </c>
      <c r="D13" s="24" t="str">
        <f>VLOOKUP($B13,ЛСР!$B$6:$M$145,3,0)</f>
        <v>по дереву 3,5х45</v>
      </c>
      <c r="E13" s="22" t="str">
        <f>VLOOKUP($B13,ЛСР!$B$6:$M$145,4,0)</f>
        <v>шт</v>
      </c>
      <c r="F13" s="25">
        <f>SUMIF(ЛСР!$B$6:$B$145,$B13,ЛСР!$G$6:$G$145)</f>
        <v>5690</v>
      </c>
      <c r="G13" s="25">
        <f>SUMIF(ЛСР!$B$6:$B$145,$B13,ЛСР!$H$6:$H$145)</f>
        <v>5748</v>
      </c>
      <c r="H13" s="25">
        <f t="shared" si="1"/>
        <v>11438</v>
      </c>
      <c r="I13" s="25"/>
      <c r="J13" s="25">
        <f t="shared" si="2"/>
        <v>0</v>
      </c>
      <c r="K13" s="24">
        <f>VLOOKUP($B13,ЛСР!B16:M155,11,0)</f>
        <v>0</v>
      </c>
    </row>
    <row r="14" spans="1:11" s="26" customFormat="1" x14ac:dyDescent="0.2">
      <c r="A14" s="22">
        <f t="shared" si="0"/>
        <v>12</v>
      </c>
      <c r="B14" s="23" t="s">
        <v>60</v>
      </c>
      <c r="C14" s="24">
        <f>VLOOKUP($B14,ЛСР!$B$6:$M$145,2,0)</f>
        <v>0</v>
      </c>
      <c r="D14" s="24" t="str">
        <f>VLOOKUP($B14,ЛСР!$B$6:$M$145,3,0)</f>
        <v>фр.10-20мм</v>
      </c>
      <c r="E14" s="22" t="str">
        <f>VLOOKUP($B14,ЛСР!$B$6:$M$145,4,0)</f>
        <v>м3</v>
      </c>
      <c r="F14" s="25">
        <f>SUMIF(ЛСР!$B$6:$B$145,$B14,ЛСР!$G$6:$G$145)</f>
        <v>93.01</v>
      </c>
      <c r="G14" s="25">
        <f>SUMIF(ЛСР!$B$6:$B$145,$B14,ЛСР!$H$6:$H$145)</f>
        <v>94</v>
      </c>
      <c r="H14" s="25">
        <f t="shared" si="1"/>
        <v>187.01</v>
      </c>
      <c r="I14" s="25"/>
      <c r="J14" s="25">
        <f t="shared" si="2"/>
        <v>0</v>
      </c>
      <c r="K14" s="24">
        <f>VLOOKUP($B14,ЛСР!B17:M156,11,0)</f>
        <v>0</v>
      </c>
    </row>
    <row r="15" spans="1:11" s="26" customFormat="1" x14ac:dyDescent="0.2">
      <c r="A15" s="22">
        <f t="shared" si="0"/>
        <v>13</v>
      </c>
      <c r="B15" s="23" t="s">
        <v>63</v>
      </c>
      <c r="C15" s="24">
        <f>VLOOKUP($B15,ЛСР!$B$6:$M$145,2,0)</f>
        <v>0</v>
      </c>
      <c r="D15" s="24" t="str">
        <f>VLOOKUP($B15,ЛСР!$B$6:$M$145,3,0)</f>
        <v>цементно-песчаный М100</v>
      </c>
      <c r="E15" s="22" t="str">
        <f>VLOOKUP($B15,ЛСР!$B$6:$M$145,4,0)</f>
        <v>м3</v>
      </c>
      <c r="F15" s="25">
        <f>SUMIF(ЛСР!$B$6:$B$145,$B15,ЛСР!$G$6:$G$145)</f>
        <v>1.4</v>
      </c>
      <c r="G15" s="25">
        <f>SUMIF(ЛСР!$B$6:$B$145,$B15,ЛСР!$H$6:$H$145)</f>
        <v>1.3</v>
      </c>
      <c r="H15" s="25">
        <f t="shared" si="1"/>
        <v>2.7</v>
      </c>
      <c r="I15" s="25"/>
      <c r="J15" s="25">
        <f t="shared" si="2"/>
        <v>0</v>
      </c>
      <c r="K15" s="24">
        <f>VLOOKUP($B15,ЛСР!B18:M157,11,0)</f>
        <v>0</v>
      </c>
    </row>
    <row r="16" spans="1:11" s="26" customFormat="1" ht="25.5" x14ac:dyDescent="0.2">
      <c r="A16" s="22">
        <f t="shared" si="0"/>
        <v>14</v>
      </c>
      <c r="B16" s="23" t="s">
        <v>154</v>
      </c>
      <c r="C16" s="24">
        <f>VLOOKUP($B16,ЛСР!$B$6:$M$145,2,0)</f>
        <v>0</v>
      </c>
      <c r="D16" s="24" t="str">
        <f>VLOOKUP($B16,ЛСР!$B$6:$M$145,3,0)</f>
        <v>для теплоизоляции с термоголовкой 10х160</v>
      </c>
      <c r="E16" s="22" t="str">
        <f>VLOOKUP($B16,ЛСР!$B$6:$M$145,4,0)</f>
        <v>шт</v>
      </c>
      <c r="F16" s="25">
        <f>SUMIF(ЛСР!$B$6:$B$145,$B16,ЛСР!$G$6:$G$145)</f>
        <v>2040</v>
      </c>
      <c r="G16" s="25">
        <f>SUMIF(ЛСР!$B$6:$B$145,$B16,ЛСР!$H$6:$H$145)</f>
        <v>2160</v>
      </c>
      <c r="H16" s="25">
        <f t="shared" si="1"/>
        <v>4200</v>
      </c>
      <c r="I16" s="25"/>
      <c r="J16" s="25">
        <f t="shared" si="2"/>
        <v>0</v>
      </c>
      <c r="K16" s="24">
        <f>VLOOKUP($B16,ЛСР!B19:M158,11,0)</f>
        <v>0</v>
      </c>
    </row>
    <row r="17" spans="1:11" s="26" customFormat="1" x14ac:dyDescent="0.2">
      <c r="A17" s="22">
        <f t="shared" si="0"/>
        <v>15</v>
      </c>
      <c r="B17" s="23" t="s">
        <v>152</v>
      </c>
      <c r="C17" s="24">
        <f>VLOOKUP($B17,ЛСР!$B$6:$M$145,2,0)</f>
        <v>0</v>
      </c>
      <c r="D17" s="24" t="str">
        <f>VLOOKUP($B17,ЛСР!$B$6:$M$145,3,0)</f>
        <v>100мм 130 кг/м3</v>
      </c>
      <c r="E17" s="22" t="str">
        <f>VLOOKUP($B17,ЛСР!$B$6:$M$145,4,0)</f>
        <v>м3</v>
      </c>
      <c r="F17" s="25">
        <f>SUMIF(ЛСР!$B$6:$B$145,$B17,ЛСР!$G$6:$G$145)</f>
        <v>31.11</v>
      </c>
      <c r="G17" s="25">
        <f>SUMIF(ЛСР!$B$6:$B$145,$B17,ЛСР!$H$6:$H$145)</f>
        <v>33.01</v>
      </c>
      <c r="H17" s="25">
        <f t="shared" si="1"/>
        <v>64.12</v>
      </c>
      <c r="I17" s="25"/>
      <c r="J17" s="25">
        <f t="shared" si="2"/>
        <v>0</v>
      </c>
      <c r="K17" s="24">
        <f>VLOOKUP($B17,ЛСР!B20:M159,11,0)</f>
        <v>0</v>
      </c>
    </row>
    <row r="18" spans="1:11" s="26" customFormat="1" x14ac:dyDescent="0.2">
      <c r="A18" s="22">
        <f t="shared" si="0"/>
        <v>16</v>
      </c>
      <c r="B18" s="23" t="s">
        <v>155</v>
      </c>
      <c r="C18" s="24">
        <f>VLOOKUP($B18,ЛСР!$B$6:$M$145,2,0)</f>
        <v>0</v>
      </c>
      <c r="D18" s="24" t="str">
        <f>VLOOKUP($B18,ЛСР!$B$6:$M$145,3,0)</f>
        <v>алюминиевая 3000х32х3,0</v>
      </c>
      <c r="E18" s="22" t="str">
        <f>VLOOKUP($B18,ЛСР!$B$6:$M$145,4,0)</f>
        <v>пог. м</v>
      </c>
      <c r="F18" s="25">
        <f>SUMIF(ЛСР!$B$6:$B$145,$B18,ЛСР!$G$6:$G$145)</f>
        <v>103.18</v>
      </c>
      <c r="G18" s="25">
        <f>SUMIF(ЛСР!$B$6:$B$145,$B18,ЛСР!$H$6:$H$145)</f>
        <v>111.16</v>
      </c>
      <c r="H18" s="25">
        <f t="shared" si="1"/>
        <v>214.34</v>
      </c>
      <c r="I18" s="25"/>
      <c r="J18" s="25">
        <f t="shared" si="2"/>
        <v>0</v>
      </c>
      <c r="K18" s="24">
        <f>VLOOKUP($B18,ЛСР!B21:M160,11,0)</f>
        <v>0</v>
      </c>
    </row>
    <row r="19" spans="1:11" s="26" customFormat="1" x14ac:dyDescent="0.2">
      <c r="A19" s="22">
        <f t="shared" si="0"/>
        <v>17</v>
      </c>
      <c r="B19" s="23" t="s">
        <v>156</v>
      </c>
      <c r="C19" s="24">
        <f>VLOOKUP($B19,ЛСР!$B$6:$M$145,2,0)</f>
        <v>0</v>
      </c>
      <c r="D19" s="24" t="str">
        <f>VLOOKUP($B19,ЛСР!$B$6:$M$145,3,0)</f>
        <v>полиуретановый</v>
      </c>
      <c r="E19" s="22" t="str">
        <f>VLOOKUP($B19,ЛСР!$B$6:$M$145,4,0)</f>
        <v>туб.</v>
      </c>
      <c r="F19" s="25">
        <f>SUMIF(ЛСР!$B$6:$B$145,$B19,ЛСР!$G$6:$G$145)</f>
        <v>6</v>
      </c>
      <c r="G19" s="25">
        <f>SUMIF(ЛСР!$B$6:$B$145,$B19,ЛСР!$H$6:$H$145)</f>
        <v>7</v>
      </c>
      <c r="H19" s="25">
        <f t="shared" si="1"/>
        <v>13</v>
      </c>
      <c r="I19" s="25"/>
      <c r="J19" s="25">
        <f t="shared" si="2"/>
        <v>0</v>
      </c>
      <c r="K19" s="24">
        <f>VLOOKUP($B19,ЛСР!B22:M161,11,0)</f>
        <v>0</v>
      </c>
    </row>
    <row r="20" spans="1:11" s="26" customFormat="1" x14ac:dyDescent="0.2">
      <c r="A20" s="22">
        <f t="shared" si="0"/>
        <v>18</v>
      </c>
      <c r="B20" s="23" t="s">
        <v>157</v>
      </c>
      <c r="C20" s="24">
        <f>VLOOKUP($B20,ЛСР!$B$6:$M$145,2,0)</f>
        <v>0</v>
      </c>
      <c r="D20" s="24" t="str">
        <f>VLOOKUP($B20,ЛСР!$B$6:$M$145,3,0)</f>
        <v>6х40</v>
      </c>
      <c r="E20" s="22" t="str">
        <f>VLOOKUP($B20,ЛСР!$B$6:$M$145,4,0)</f>
        <v>шт</v>
      </c>
      <c r="F20" s="25">
        <f>SUMIF(ЛСР!$B$6:$B$145,$B20,ЛСР!$G$6:$G$145)</f>
        <v>914</v>
      </c>
      <c r="G20" s="25">
        <f>SUMIF(ЛСР!$B$6:$B$145,$B20,ЛСР!$H$6:$H$145)</f>
        <v>903</v>
      </c>
      <c r="H20" s="25">
        <f t="shared" si="1"/>
        <v>1817</v>
      </c>
      <c r="I20" s="25"/>
      <c r="J20" s="25">
        <f t="shared" si="2"/>
        <v>0</v>
      </c>
      <c r="K20" s="24">
        <f>VLOOKUP($B20,ЛСР!B23:M162,11,0)</f>
        <v>0</v>
      </c>
    </row>
    <row r="21" spans="1:11" s="26" customFormat="1" ht="25.5" x14ac:dyDescent="0.2">
      <c r="A21" s="22">
        <f t="shared" si="0"/>
        <v>19</v>
      </c>
      <c r="B21" s="23" t="s">
        <v>162</v>
      </c>
      <c r="C21" s="24">
        <f>VLOOKUP($B21,ЛСР!$B$6:$M$145,2,0)</f>
        <v>0</v>
      </c>
      <c r="D21" s="24" t="str">
        <f>VLOOKUP($B21,ЛСР!$B$6:$M$145,3,0)</f>
        <v>для теплоизоляции с термоголовкой 10х220</v>
      </c>
      <c r="E21" s="22" t="str">
        <f>VLOOKUP($B21,ЛСР!$B$6:$M$145,4,0)</f>
        <v>шт</v>
      </c>
      <c r="F21" s="25">
        <f>SUMIF(ЛСР!$B$6:$B$145,$B21,ЛСР!$G$6:$G$145)</f>
        <v>285</v>
      </c>
      <c r="G21" s="25">
        <f>SUMIF(ЛСР!$B$6:$B$145,$B21,ЛСР!$H$6:$H$145)</f>
        <v>270</v>
      </c>
      <c r="H21" s="25">
        <f t="shared" si="1"/>
        <v>555</v>
      </c>
      <c r="I21" s="25"/>
      <c r="J21" s="25">
        <f t="shared" si="2"/>
        <v>0</v>
      </c>
      <c r="K21" s="24">
        <f>VLOOKUP($B21,ЛСР!B24:M163,11,0)</f>
        <v>0</v>
      </c>
    </row>
    <row r="22" spans="1:11" s="26" customFormat="1" x14ac:dyDescent="0.2">
      <c r="A22" s="22">
        <f t="shared" si="0"/>
        <v>20</v>
      </c>
      <c r="B22" s="23" t="s">
        <v>153</v>
      </c>
      <c r="C22" s="24">
        <f>VLOOKUP($B22,ЛСР!$B$6:$M$145,2,0)</f>
        <v>0</v>
      </c>
      <c r="D22" s="24" t="str">
        <f>VLOOKUP($B22,ЛСР!$B$6:$M$145,3,0)</f>
        <v>150мм 110 кг/м3</v>
      </c>
      <c r="E22" s="22" t="str">
        <f>VLOOKUP($B22,ЛСР!$B$6:$M$145,4,0)</f>
        <v>м3</v>
      </c>
      <c r="F22" s="25">
        <f>SUMIF(ЛСР!$B$6:$B$145,$B22,ЛСР!$G$6:$G$145)</f>
        <v>6.37</v>
      </c>
      <c r="G22" s="25">
        <f>SUMIF(ЛСР!$B$6:$B$145,$B22,ЛСР!$H$6:$H$145)</f>
        <v>6.15</v>
      </c>
      <c r="H22" s="25">
        <f t="shared" si="1"/>
        <v>12.52</v>
      </c>
      <c r="I22" s="25"/>
      <c r="J22" s="25">
        <f t="shared" si="2"/>
        <v>0</v>
      </c>
      <c r="K22" s="24">
        <f>VLOOKUP($B22,ЛСР!B25:M164,11,0)</f>
        <v>0</v>
      </c>
    </row>
    <row r="23" spans="1:11" s="26" customFormat="1" x14ac:dyDescent="0.2">
      <c r="A23" s="22">
        <f t="shared" si="0"/>
        <v>21</v>
      </c>
      <c r="B23" s="23" t="s">
        <v>163</v>
      </c>
      <c r="C23" s="24">
        <f>VLOOKUP($B23,ЛСР!$B$6:$M$145,2,0)</f>
        <v>0</v>
      </c>
      <c r="D23" s="24" t="str">
        <f>VLOOKUP($B23,ЛСР!$B$6:$M$145,3,0)</f>
        <v>рамный металлический 10х202</v>
      </c>
      <c r="E23" s="22" t="str">
        <f>VLOOKUP($B23,ЛСР!$B$6:$M$145,4,0)</f>
        <v>шт</v>
      </c>
      <c r="F23" s="25">
        <f>SUMIF(ЛСР!$B$6:$B$145,$B23,ЛСР!$G$6:$G$145)</f>
        <v>150</v>
      </c>
      <c r="G23" s="25">
        <f>SUMIF(ЛСР!$B$6:$B$145,$B23,ЛСР!$H$6:$H$145)</f>
        <v>130</v>
      </c>
      <c r="H23" s="25">
        <f t="shared" si="1"/>
        <v>280</v>
      </c>
      <c r="I23" s="25"/>
      <c r="J23" s="25">
        <f t="shared" si="2"/>
        <v>0</v>
      </c>
      <c r="K23" s="24">
        <f>VLOOKUP($B23,ЛСР!B26:M165,11,0)</f>
        <v>0</v>
      </c>
    </row>
    <row r="24" spans="1:11" s="26" customFormat="1" x14ac:dyDescent="0.2">
      <c r="A24" s="22">
        <f t="shared" si="0"/>
        <v>22</v>
      </c>
      <c r="B24" s="23" t="s">
        <v>164</v>
      </c>
      <c r="C24" s="24">
        <f>VLOOKUP($B24,ЛСР!$B$6:$M$145,2,0)</f>
        <v>0</v>
      </c>
      <c r="D24" s="24" t="str">
        <f>VLOOKUP($B24,ЛСР!$B$6:$M$145,3,0)</f>
        <v>рамный металлический 10х152</v>
      </c>
      <c r="E24" s="22" t="str">
        <f>VLOOKUP($B24,ЛСР!$B$6:$M$145,4,0)</f>
        <v>шт</v>
      </c>
      <c r="F24" s="25">
        <f>SUMIF(ЛСР!$B$6:$B$145,$B24,ЛСР!$G$6:$G$145)</f>
        <v>2300</v>
      </c>
      <c r="G24" s="25">
        <f>SUMIF(ЛСР!$B$6:$B$145,$B24,ЛСР!$H$6:$H$145)</f>
        <v>2410</v>
      </c>
      <c r="H24" s="25">
        <f t="shared" si="1"/>
        <v>4710</v>
      </c>
      <c r="I24" s="25"/>
      <c r="J24" s="25">
        <f t="shared" si="2"/>
        <v>0</v>
      </c>
      <c r="K24" s="24">
        <f>VLOOKUP($B24,ЛСР!B27:M166,11,0)</f>
        <v>0</v>
      </c>
    </row>
    <row r="25" spans="1:11" s="26" customFormat="1" x14ac:dyDescent="0.2">
      <c r="A25" s="22">
        <f t="shared" si="0"/>
        <v>23</v>
      </c>
      <c r="B25" s="23" t="s">
        <v>52</v>
      </c>
      <c r="C25" s="24">
        <f>VLOOKUP($B25,ЛСР!$B$6:$M$145,2,0)</f>
        <v>0</v>
      </c>
      <c r="D25" s="24" t="str">
        <f>VLOOKUP($B25,ЛСР!$B$6:$M$145,3,0)</f>
        <v>ЛП-П 10мм</v>
      </c>
      <c r="E25" s="22" t="str">
        <f>VLOOKUP($B25,ЛСР!$B$6:$M$145,4,0)</f>
        <v>м2</v>
      </c>
      <c r="F25" s="25">
        <f>SUMIF(ЛСР!$B$6:$B$145,$B25,ЛСР!$G$6:$G$145)</f>
        <v>769.81599999999992</v>
      </c>
      <c r="G25" s="25">
        <f>SUMIF(ЛСР!$B$6:$B$145,$B25,ЛСР!$H$6:$H$145)</f>
        <v>831.5</v>
      </c>
      <c r="H25" s="25">
        <f t="shared" si="1"/>
        <v>1601.3159999999998</v>
      </c>
      <c r="I25" s="25"/>
      <c r="J25" s="25">
        <f t="shared" si="2"/>
        <v>0</v>
      </c>
      <c r="K25" s="24" t="str">
        <f>VLOOKUP($B25,ЛСР!B28:M167,11,0)</f>
        <v>в 2 слоя</v>
      </c>
    </row>
    <row r="26" spans="1:11" s="26" customFormat="1" x14ac:dyDescent="0.2">
      <c r="A26" s="22">
        <f t="shared" si="0"/>
        <v>24</v>
      </c>
      <c r="B26" s="23" t="s">
        <v>165</v>
      </c>
      <c r="C26" s="24">
        <f>VLOOKUP($B26,ЛСР!$B$6:$M$145,2,0)</f>
        <v>0</v>
      </c>
      <c r="D26" s="24" t="str">
        <f>VLOOKUP($B26,ЛСР!$B$6:$M$145,3,0)</f>
        <v>обрезная антисептированная 50х100х6000</v>
      </c>
      <c r="E26" s="22" t="str">
        <f>VLOOKUP($B26,ЛСР!$B$6:$M$145,4,0)</f>
        <v>м3</v>
      </c>
      <c r="F26" s="25">
        <f>SUMIF(ЛСР!$B$6:$B$145,$B26,ЛСР!$G$6:$G$145)</f>
        <v>3.62</v>
      </c>
      <c r="G26" s="25">
        <f>SUMIF(ЛСР!$B$6:$B$145,$B26,ЛСР!$H$6:$H$145)</f>
        <v>3.79</v>
      </c>
      <c r="H26" s="25">
        <f t="shared" si="1"/>
        <v>7.41</v>
      </c>
      <c r="I26" s="25"/>
      <c r="J26" s="25">
        <f t="shared" si="2"/>
        <v>0</v>
      </c>
      <c r="K26" s="24">
        <f>VLOOKUP($B26,ЛСР!B29:M168,11,0)</f>
        <v>0</v>
      </c>
    </row>
    <row r="27" spans="1:11" s="26" customFormat="1" x14ac:dyDescent="0.2">
      <c r="A27" s="22">
        <f t="shared" si="0"/>
        <v>25</v>
      </c>
      <c r="B27" s="23" t="s">
        <v>166</v>
      </c>
      <c r="C27" s="24">
        <f>VLOOKUP($B27,ЛСР!$B$6:$M$145,2,0)</f>
        <v>0</v>
      </c>
      <c r="D27" s="24" t="str">
        <f>VLOOKUP($B27,ЛСР!$B$6:$M$145,3,0)</f>
        <v>обрезная антисептированная 50х150х6000</v>
      </c>
      <c r="E27" s="22" t="str">
        <f>VLOOKUP($B27,ЛСР!$B$6:$M$145,4,0)</f>
        <v>м3</v>
      </c>
      <c r="F27" s="25">
        <f>SUMIF(ЛСР!$B$6:$B$145,$B27,ЛСР!$G$6:$G$145)</f>
        <v>0.23</v>
      </c>
      <c r="G27" s="25">
        <f>SUMIF(ЛСР!$B$6:$B$145,$B27,ЛСР!$H$6:$H$145)</f>
        <v>0.2</v>
      </c>
      <c r="H27" s="25">
        <f t="shared" si="1"/>
        <v>0.43000000000000005</v>
      </c>
      <c r="I27" s="25"/>
      <c r="J27" s="25">
        <f t="shared" si="2"/>
        <v>0</v>
      </c>
      <c r="K27" s="24">
        <f>VLOOKUP($B27,ЛСР!B30:M169,11,0)</f>
        <v>0</v>
      </c>
    </row>
    <row r="28" spans="1:11" s="26" customFormat="1" ht="25.5" x14ac:dyDescent="0.2">
      <c r="A28" s="22">
        <f t="shared" si="0"/>
        <v>26</v>
      </c>
      <c r="B28" s="23" t="s">
        <v>98</v>
      </c>
      <c r="C28" s="24">
        <f>VLOOKUP($B28,ЛСР!$B$6:$M$145,2,0)</f>
        <v>0</v>
      </c>
      <c r="D28" s="24" t="str">
        <f>VLOOKUP($B28,ЛСР!$B$6:$M$145,3,0)</f>
        <v>120-140/12мм</v>
      </c>
      <c r="E28" s="22" t="str">
        <f>VLOOKUP($B28,ЛСР!$B$6:$M$145,4,0)</f>
        <v>шт</v>
      </c>
      <c r="F28" s="25">
        <f>SUMIF(ЛСР!$B$6:$B$145,$B28,ЛСР!$G$6:$G$145)</f>
        <v>4</v>
      </c>
      <c r="G28" s="25">
        <f>SUMIF(ЛСР!$B$6:$B$145,$B28,ЛСР!$H$6:$H$145)</f>
        <v>3</v>
      </c>
      <c r="H28" s="25">
        <f t="shared" si="1"/>
        <v>7</v>
      </c>
      <c r="I28" s="25"/>
      <c r="J28" s="25">
        <f t="shared" si="2"/>
        <v>0</v>
      </c>
      <c r="K28" s="24" t="str">
        <f>VLOOKUP($B28,ЛСР!B31:M170,11,0)</f>
        <v>устройство примыканий к выпускам труб</v>
      </c>
    </row>
    <row r="29" spans="1:11" s="26" customFormat="1" x14ac:dyDescent="0.2">
      <c r="A29" s="22">
        <f t="shared" si="0"/>
        <v>27</v>
      </c>
      <c r="B29" s="23" t="s">
        <v>167</v>
      </c>
      <c r="C29" s="24">
        <f>VLOOKUP($B29,ЛСР!$B$6:$M$145,2,0)</f>
        <v>0</v>
      </c>
      <c r="D29" s="24" t="str">
        <f>VLOOKUP($B29,ЛСР!$B$6:$M$145,3,0)</f>
        <v>160х460мм</v>
      </c>
      <c r="E29" s="22" t="str">
        <f>VLOOKUP($B29,ЛСР!$B$6:$M$145,4,0)</f>
        <v>шт</v>
      </c>
      <c r="F29" s="25">
        <f>SUMIF(ЛСР!$B$6:$B$145,$B29,ЛСР!$G$6:$G$145)</f>
        <v>11</v>
      </c>
      <c r="G29" s="25">
        <f>SUMIF(ЛСР!$B$6:$B$145,$B29,ЛСР!$H$6:$H$145)</f>
        <v>11</v>
      </c>
      <c r="H29" s="25">
        <f t="shared" si="1"/>
        <v>22</v>
      </c>
      <c r="I29" s="25"/>
      <c r="J29" s="25">
        <f t="shared" si="2"/>
        <v>0</v>
      </c>
      <c r="K29" s="24">
        <f>VLOOKUP($B29,ЛСР!B32:M171,11,0)</f>
        <v>0</v>
      </c>
    </row>
    <row r="30" spans="1:11" s="26" customFormat="1" ht="63.75" x14ac:dyDescent="0.2">
      <c r="A30" s="22">
        <f t="shared" si="0"/>
        <v>28</v>
      </c>
      <c r="B30" s="23" t="s">
        <v>168</v>
      </c>
      <c r="C30" s="24">
        <f>VLOOKUP($B30,ЛСР!$B$6:$M$145,2,0)</f>
        <v>0</v>
      </c>
      <c r="D30" s="24" t="str">
        <f>VLOOKUP($B30,ЛСР!$B$6:$M$145,3,0)</f>
        <v>DN-110</v>
      </c>
      <c r="E30" s="22" t="str">
        <f>VLOOKUP($B30,ЛСР!$B$6:$M$145,4,0)</f>
        <v>шт</v>
      </c>
      <c r="F30" s="25">
        <f>SUMIF(ЛСР!$B$6:$B$145,$B30,ЛСР!$G$6:$G$145)</f>
        <v>2</v>
      </c>
      <c r="G30" s="25">
        <f>SUMIF(ЛСР!$B$6:$B$145,$B30,ЛСР!$H$6:$H$145)</f>
        <v>2</v>
      </c>
      <c r="H30" s="25">
        <f t="shared" si="1"/>
        <v>4</v>
      </c>
      <c r="I30" s="25"/>
      <c r="J30" s="25">
        <f t="shared" si="2"/>
        <v>0</v>
      </c>
      <c r="K30" s="24" t="str">
        <f>VLOOKUP($B30,ЛСР!B33:M172,11,0)</f>
        <v>Воронка кровельная ТП 01.100/6-Э с обжимным фланцем и электрообогревом, на основной кровле</v>
      </c>
    </row>
    <row r="31" spans="1:11" s="26" customFormat="1" ht="51" x14ac:dyDescent="0.2">
      <c r="A31" s="22">
        <f t="shared" si="0"/>
        <v>29</v>
      </c>
      <c r="B31" s="23" t="s">
        <v>169</v>
      </c>
      <c r="C31" s="24" t="str">
        <f>VLOOKUP($B31,ЛСР!$B$6:$M$145,2,0)</f>
        <v>Татполимер</v>
      </c>
      <c r="D31" s="24" t="str">
        <f>VLOOKUP($B31,ЛСР!$B$6:$M$145,3,0)</f>
        <v>DN-110</v>
      </c>
      <c r="E31" s="22" t="str">
        <f>VLOOKUP($B31,ЛСР!$B$6:$M$145,4,0)</f>
        <v>шт</v>
      </c>
      <c r="F31" s="25">
        <f>SUMIF(ЛСР!$B$6:$B$145,$B31,ЛСР!$G$6:$G$145)</f>
        <v>1</v>
      </c>
      <c r="G31" s="25">
        <f>SUMIF(ЛСР!$B$6:$B$145,$B31,ЛСР!$H$6:$H$145)</f>
        <v>0</v>
      </c>
      <c r="H31" s="25">
        <f t="shared" si="1"/>
        <v>1</v>
      </c>
      <c r="I31" s="25"/>
      <c r="J31" s="25">
        <f t="shared" si="2"/>
        <v>0</v>
      </c>
      <c r="K31" s="24" t="str">
        <f>VLOOKUP($B31,ЛСР!B34:M173,11,0)</f>
        <v>С отводом и листвоуловителем ТП-01.П.ПП черная, козырьки 2-го этажа</v>
      </c>
    </row>
    <row r="32" spans="1:11" s="26" customFormat="1" x14ac:dyDescent="0.2">
      <c r="A32" s="22">
        <f t="shared" si="0"/>
        <v>30</v>
      </c>
      <c r="B32" s="23" t="s">
        <v>170</v>
      </c>
      <c r="C32" s="24">
        <f>VLOOKUP($B32,ЛСР!$B$6:$M$145,2,0)</f>
        <v>0</v>
      </c>
      <c r="D32" s="24" t="str">
        <f>VLOOKUP($B32,ЛСР!$B$6:$M$145,3,0)</f>
        <v>распорный полипропилен 6х120</v>
      </c>
      <c r="E32" s="22" t="str">
        <f>VLOOKUP($B32,ЛСР!$B$6:$M$145,4,0)</f>
        <v>шт</v>
      </c>
      <c r="F32" s="25">
        <f>SUMIF(ЛСР!$B$6:$B$145,$B32,ЛСР!$G$6:$G$145)</f>
        <v>77</v>
      </c>
      <c r="G32" s="25">
        <f>SUMIF(ЛСР!$B$6:$B$145,$B32,ЛСР!$H$6:$H$145)</f>
        <v>559</v>
      </c>
      <c r="H32" s="25">
        <f t="shared" si="1"/>
        <v>636</v>
      </c>
      <c r="I32" s="25"/>
      <c r="J32" s="25">
        <f t="shared" si="2"/>
        <v>0</v>
      </c>
      <c r="K32" s="24">
        <f>VLOOKUP($B32,ЛСР!B35:M174,11,0)</f>
        <v>0</v>
      </c>
    </row>
    <row r="33" spans="1:11" s="26" customFormat="1" ht="25.5" x14ac:dyDescent="0.2">
      <c r="A33" s="22">
        <f t="shared" si="0"/>
        <v>31</v>
      </c>
      <c r="B33" s="23" t="s">
        <v>177</v>
      </c>
      <c r="C33" s="24">
        <f>VLOOKUP($B33,ЛСР!$B$6:$M$145,2,0)</f>
        <v>0</v>
      </c>
      <c r="D33" s="24" t="str">
        <f>VLOOKUP($B33,ЛСР!$B$6:$M$145,3,0)</f>
        <v>пристенный накладной сталь оцинк. 20х100х400х100 0,7мм RAL9004</v>
      </c>
      <c r="E33" s="22" t="str">
        <f>VLOOKUP($B33,ЛСР!$B$6:$M$145,4,0)</f>
        <v>пог. м</v>
      </c>
      <c r="F33" s="25">
        <f>SUMIF(ЛСР!$B$6:$B$145,$B33,ЛСР!$G$6:$G$145)</f>
        <v>15.92</v>
      </c>
      <c r="G33" s="25">
        <f>SUMIF(ЛСР!$B$6:$B$145,$B33,ЛСР!$H$6:$H$145)</f>
        <v>0</v>
      </c>
      <c r="H33" s="25">
        <f t="shared" si="1"/>
        <v>15.92</v>
      </c>
      <c r="I33" s="25"/>
      <c r="J33" s="25">
        <f t="shared" si="2"/>
        <v>0</v>
      </c>
      <c r="K33" s="24">
        <f>VLOOKUP($B33,ЛСР!B36:M175,11,0)</f>
        <v>0</v>
      </c>
    </row>
    <row r="34" spans="1:11" s="26" customFormat="1" ht="25.5" x14ac:dyDescent="0.2">
      <c r="A34" s="22">
        <f t="shared" si="0"/>
        <v>32</v>
      </c>
      <c r="B34" s="23" t="s">
        <v>171</v>
      </c>
      <c r="C34" s="24">
        <f>VLOOKUP($B34,ЛСР!$B$6:$M$145,2,0)</f>
        <v>0</v>
      </c>
      <c r="D34" s="24" t="str">
        <f>VLOOKUP($B34,ЛСР!$B$6:$M$145,3,0)</f>
        <v>пристенный накладной сталь оцинк. 20х100х160х100 0,7мм RAL9004</v>
      </c>
      <c r="E34" s="22" t="str">
        <f>VLOOKUP($B34,ЛСР!$B$6:$M$145,4,0)</f>
        <v>пог. м</v>
      </c>
      <c r="F34" s="25">
        <f>SUMIF(ЛСР!$B$6:$B$145,$B34,ЛСР!$G$6:$G$145)</f>
        <v>15.92</v>
      </c>
      <c r="G34" s="25">
        <f>SUMIF(ЛСР!$B$6:$B$145,$B34,ЛСР!$H$6:$H$145)</f>
        <v>0</v>
      </c>
      <c r="H34" s="25">
        <f t="shared" si="1"/>
        <v>15.92</v>
      </c>
      <c r="I34" s="25"/>
      <c r="J34" s="25">
        <f t="shared" si="2"/>
        <v>0</v>
      </c>
      <c r="K34" s="24">
        <f>VLOOKUP($B34,ЛСР!B37:M176,11,0)</f>
        <v>0</v>
      </c>
    </row>
    <row r="35" spans="1:11" s="26" customFormat="1" ht="25.5" x14ac:dyDescent="0.2">
      <c r="A35" s="22">
        <f t="shared" si="0"/>
        <v>33</v>
      </c>
      <c r="B35" s="23" t="s">
        <v>172</v>
      </c>
      <c r="C35" s="24" t="str">
        <f>VLOOKUP($B35,ЛСР!$B$6:$M$145,2,0)</f>
        <v>Soudaseal 240 FC, Soudal</v>
      </c>
      <c r="D35" s="24" t="str">
        <f>VLOOKUP($B35,ЛСР!$B$6:$M$145,3,0)</f>
        <v>гибридный полимерный</v>
      </c>
      <c r="E35" s="22" t="str">
        <f>VLOOKUP($B35,ЛСР!$B$6:$M$145,4,0)</f>
        <v>туб.</v>
      </c>
      <c r="F35" s="25">
        <f>SUMIF(ЛСР!$B$6:$B$145,$B35,ЛСР!$G$6:$G$145)</f>
        <v>4</v>
      </c>
      <c r="G35" s="25">
        <f>SUMIF(ЛСР!$B$6:$B$145,$B35,ЛСР!$H$6:$H$145)</f>
        <v>25</v>
      </c>
      <c r="H35" s="25">
        <f t="shared" si="1"/>
        <v>29</v>
      </c>
      <c r="I35" s="25"/>
      <c r="J35" s="25">
        <f t="shared" si="2"/>
        <v>0</v>
      </c>
      <c r="K35" s="24" t="str">
        <f>VLOOKUP($B35,ЛСР!B38:M177,11,0)</f>
        <v>Герметизация стыков, Soudaseal 240 FC, Soudal</v>
      </c>
    </row>
    <row r="36" spans="1:11" s="26" customFormat="1" x14ac:dyDescent="0.2">
      <c r="A36" s="22">
        <f t="shared" si="0"/>
        <v>34</v>
      </c>
      <c r="B36" s="23" t="s">
        <v>173</v>
      </c>
      <c r="C36" s="24">
        <f>VLOOKUP($B36,ЛСР!$B$6:$M$145,2,0)</f>
        <v>0</v>
      </c>
      <c r="D36" s="24" t="str">
        <f>VLOOKUP($B36,ЛСР!$B$6:$M$145,3,0)</f>
        <v>кровельные 4,8х80</v>
      </c>
      <c r="E36" s="22" t="str">
        <f>VLOOKUP($B36,ЛСР!$B$6:$M$145,4,0)</f>
        <v>шт</v>
      </c>
      <c r="F36" s="25">
        <f>SUMIF(ЛСР!$B$6:$B$145,$B36,ЛСР!$G$6:$G$145)</f>
        <v>77</v>
      </c>
      <c r="G36" s="25">
        <f>SUMIF(ЛСР!$B$6:$B$145,$B36,ЛСР!$H$6:$H$145)</f>
        <v>559</v>
      </c>
      <c r="H36" s="25">
        <f t="shared" si="1"/>
        <v>636</v>
      </c>
      <c r="I36" s="25"/>
      <c r="J36" s="25">
        <f t="shared" si="2"/>
        <v>0</v>
      </c>
      <c r="K36" s="24">
        <f>VLOOKUP($B36,ЛСР!B39:M178,11,0)</f>
        <v>0</v>
      </c>
    </row>
    <row r="37" spans="1:11" s="26" customFormat="1" ht="63.75" x14ac:dyDescent="0.2">
      <c r="A37" s="22">
        <f t="shared" si="0"/>
        <v>35</v>
      </c>
      <c r="B37" s="23" t="s">
        <v>174</v>
      </c>
      <c r="C37" s="24">
        <f>VLOOKUP($B37,ЛСР!$B$6:$M$145,2,0)</f>
        <v>0</v>
      </c>
      <c r="D37" s="24" t="str">
        <f>VLOOKUP($B37,ЛСР!$B$6:$M$145,3,0)</f>
        <v>оцинк.сталь 560мм 0,7мм RAL9004</v>
      </c>
      <c r="E37" s="22" t="str">
        <f>VLOOKUP($B37,ЛСР!$B$6:$M$145,4,0)</f>
        <v>пог. м</v>
      </c>
      <c r="F37" s="25">
        <f>SUMIF(ЛСР!$B$6:$B$145,$B37,ЛСР!$G$6:$G$145)</f>
        <v>0</v>
      </c>
      <c r="G37" s="25">
        <f>SUMIF(ЛСР!$B$6:$B$145,$B37,ЛСР!$H$6:$H$145)</f>
        <v>117.1</v>
      </c>
      <c r="H37" s="25">
        <f t="shared" si="1"/>
        <v>117.1</v>
      </c>
      <c r="I37" s="25"/>
      <c r="J37" s="25">
        <f t="shared" si="2"/>
        <v>0</v>
      </c>
      <c r="K37" s="24" t="str">
        <f>VLOOKUP($B37,ЛСР!B40:M179,11,0)</f>
        <v>Ширина развертки - 20х50х90х560х120х50х20 мм.
10см перехлест,  2м длина профиля. Размеры уточнить по месту.</v>
      </c>
    </row>
    <row r="38" spans="1:11" x14ac:dyDescent="0.2">
      <c r="I38" s="27" t="s">
        <v>147</v>
      </c>
      <c r="J38" s="28">
        <f>SUM(J3:J37)</f>
        <v>0</v>
      </c>
    </row>
    <row r="39" spans="1:11" x14ac:dyDescent="0.2">
      <c r="I39" s="27" t="s">
        <v>148</v>
      </c>
      <c r="J39" s="28">
        <f>J38-ЛСР!K148</f>
        <v>0</v>
      </c>
    </row>
    <row r="40" spans="1:11" x14ac:dyDescent="0.2">
      <c r="J40" s="29"/>
    </row>
    <row r="42" spans="1:11" ht="13.5" x14ac:dyDescent="0.2">
      <c r="A42" s="30"/>
      <c r="B42" s="31"/>
      <c r="C42" s="30"/>
      <c r="D42" s="30"/>
      <c r="E42" s="30"/>
      <c r="F42" s="30"/>
      <c r="G42" s="30"/>
      <c r="H42" s="30"/>
      <c r="I42" s="30"/>
      <c r="J42" s="32"/>
      <c r="K42" s="30"/>
    </row>
    <row r="43" spans="1:11" x14ac:dyDescent="0.2">
      <c r="A43" s="33"/>
      <c r="B43" s="34"/>
      <c r="C43" s="34"/>
      <c r="D43" s="34"/>
      <c r="E43" s="34"/>
      <c r="F43" s="34"/>
      <c r="G43" s="34"/>
      <c r="H43" s="34"/>
      <c r="I43" s="34"/>
      <c r="J43" s="34"/>
      <c r="K43" s="34"/>
    </row>
    <row r="44" spans="1:11" x14ac:dyDescent="0.2">
      <c r="A44" s="35"/>
      <c r="B44" s="98"/>
      <c r="C44" s="98"/>
      <c r="D44" s="98"/>
      <c r="E44" s="98"/>
      <c r="F44" s="98"/>
      <c r="G44" s="98"/>
      <c r="H44" s="98"/>
      <c r="I44" s="98"/>
      <c r="J44" s="98"/>
      <c r="K44" s="98"/>
    </row>
    <row r="45" spans="1:11" x14ac:dyDescent="0.2">
      <c r="A45" s="33"/>
      <c r="B45" s="36"/>
      <c r="C45" s="37"/>
      <c r="D45" s="37"/>
      <c r="E45" s="37"/>
      <c r="F45" s="37"/>
      <c r="G45" s="37"/>
      <c r="H45" s="37"/>
      <c r="I45" s="37"/>
      <c r="J45" s="37"/>
      <c r="K45" s="37"/>
    </row>
    <row r="46" spans="1:11" x14ac:dyDescent="0.2">
      <c r="A46" s="33"/>
      <c r="B46" s="38"/>
    </row>
  </sheetData>
  <mergeCells count="1">
    <mergeCell ref="B44:K44"/>
  </mergeCells>
  <conditionalFormatting sqref="B47">
    <cfRule type="duplicateValues" dxfId="4" priority="2"/>
    <cfRule type="duplicateValues" dxfId="3" priority="3"/>
  </conditionalFormatting>
  <conditionalFormatting sqref="B48:B1048576 B1:B41">
    <cfRule type="duplicateValues" dxfId="2" priority="4"/>
  </conditionalFormatting>
  <conditionalFormatting sqref="B48:B1048576 B1:B45">
    <cfRule type="duplicateValues" dxfId="1" priority="5"/>
  </conditionalFormatting>
  <conditionalFormatting sqref="C3:D37 K3:K37">
    <cfRule type="cellIs" dxfId="0" priority="1" operator="equal">
      <formula>0</formula>
    </cfRule>
  </conditionalFormatting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3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133</v>
      </c>
      <c r="B1" s="1" t="s">
        <v>134</v>
      </c>
    </row>
    <row r="2" spans="1:2" ht="11.1" customHeight="1" x14ac:dyDescent="0.2">
      <c r="A2" s="1" t="s">
        <v>135</v>
      </c>
      <c r="B2" s="1" t="s">
        <v>136</v>
      </c>
    </row>
    <row r="3" spans="1:2" ht="11.1" customHeight="1" x14ac:dyDescent="0.2">
      <c r="A3" s="1" t="s">
        <v>137</v>
      </c>
      <c r="B3" s="1" t="s">
        <v>138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Великоборец Александра Михайловна</cp:lastModifiedBy>
  <dcterms:modified xsi:type="dcterms:W3CDTF">2026-05-07T03:42:32Z</dcterms:modified>
</cp:coreProperties>
</file>