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Прео\ПРЕО 8\04. Кровля\"/>
    </mc:Choice>
  </mc:AlternateContent>
  <xr:revisionPtr revIDLastSave="0" documentId="13_ncr:1_{AC8960B3-7730-43FC-A634-A74C7C041A07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ЛСР!$A$6:$L$136</definedName>
    <definedName name="_xlnm._FilterDatabase" localSheetId="2" hidden="1">Материалы!$A$2:$J$36</definedName>
  </definedNames>
  <calcPr calcId="191029" refMode="R1C1"/>
</workbook>
</file>

<file path=xl/calcChain.xml><?xml version="1.0" encoding="utf-8"?>
<calcChain xmlns="http://schemas.openxmlformats.org/spreadsheetml/2006/main">
  <c r="I4" i="3" l="1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" i="3"/>
  <c r="E25" i="2"/>
  <c r="I132" i="1"/>
  <c r="I131" i="1"/>
  <c r="I130" i="1"/>
  <c r="I129" i="1"/>
  <c r="I128" i="1"/>
  <c r="I122" i="1"/>
  <c r="I121" i="1"/>
  <c r="I120" i="1"/>
  <c r="I119" i="1"/>
  <c r="I115" i="1"/>
  <c r="I114" i="1"/>
  <c r="I113" i="1"/>
  <c r="I107" i="1"/>
  <c r="I103" i="1"/>
  <c r="I102" i="1"/>
  <c r="I98" i="1"/>
  <c r="I97" i="1"/>
  <c r="I96" i="1"/>
  <c r="I92" i="1"/>
  <c r="I91" i="1"/>
  <c r="I90" i="1"/>
  <c r="I86" i="1"/>
  <c r="I85" i="1"/>
  <c r="I81" i="1"/>
  <c r="I80" i="1"/>
  <c r="I79" i="1"/>
  <c r="I78" i="1"/>
  <c r="I77" i="1"/>
  <c r="I76" i="1"/>
  <c r="I72" i="1"/>
  <c r="I68" i="1"/>
  <c r="I67" i="1"/>
  <c r="I63" i="1"/>
  <c r="I62" i="1"/>
  <c r="I58" i="1"/>
  <c r="I57" i="1"/>
  <c r="I56" i="1"/>
  <c r="I50" i="1"/>
  <c r="I49" i="1"/>
  <c r="I45" i="1"/>
  <c r="I41" i="1"/>
  <c r="I37" i="1"/>
  <c r="I36" i="1"/>
  <c r="I35" i="1"/>
  <c r="I31" i="1"/>
  <c r="I30" i="1"/>
  <c r="I29" i="1"/>
  <c r="I25" i="1"/>
  <c r="I24" i="1"/>
  <c r="I20" i="1"/>
  <c r="I19" i="1"/>
  <c r="I15" i="1"/>
  <c r="E4" i="3"/>
  <c r="F4" i="3"/>
  <c r="G4" i="3" s="1"/>
  <c r="J4" i="3"/>
  <c r="E5" i="3"/>
  <c r="F5" i="3"/>
  <c r="G5" i="3" s="1"/>
  <c r="J5" i="3"/>
  <c r="E6" i="3"/>
  <c r="F6" i="3"/>
  <c r="G6" i="3" s="1"/>
  <c r="J6" i="3"/>
  <c r="E7" i="3"/>
  <c r="F7" i="3"/>
  <c r="G7" i="3" s="1"/>
  <c r="J7" i="3"/>
  <c r="E8" i="3"/>
  <c r="F8" i="3"/>
  <c r="G8" i="3" s="1"/>
  <c r="J8" i="3"/>
  <c r="E9" i="3"/>
  <c r="F9" i="3"/>
  <c r="G9" i="3" s="1"/>
  <c r="J9" i="3"/>
  <c r="E10" i="3"/>
  <c r="F10" i="3"/>
  <c r="G10" i="3" s="1"/>
  <c r="J10" i="3"/>
  <c r="E11" i="3"/>
  <c r="F11" i="3"/>
  <c r="G11" i="3" s="1"/>
  <c r="J11" i="3"/>
  <c r="E12" i="3"/>
  <c r="F12" i="3"/>
  <c r="G12" i="3" s="1"/>
  <c r="J12" i="3"/>
  <c r="E13" i="3"/>
  <c r="F13" i="3"/>
  <c r="G13" i="3"/>
  <c r="J13" i="3"/>
  <c r="E14" i="3"/>
  <c r="F14" i="3"/>
  <c r="G14" i="3" s="1"/>
  <c r="J14" i="3"/>
  <c r="E15" i="3"/>
  <c r="F15" i="3"/>
  <c r="G15" i="3"/>
  <c r="J15" i="3"/>
  <c r="E16" i="3"/>
  <c r="F16" i="3"/>
  <c r="G16" i="3" s="1"/>
  <c r="J16" i="3"/>
  <c r="E17" i="3"/>
  <c r="F17" i="3"/>
  <c r="G17" i="3" s="1"/>
  <c r="J17" i="3"/>
  <c r="E18" i="3"/>
  <c r="F18" i="3"/>
  <c r="G18" i="3" s="1"/>
  <c r="J18" i="3"/>
  <c r="E19" i="3"/>
  <c r="F19" i="3"/>
  <c r="G19" i="3" s="1"/>
  <c r="J19" i="3"/>
  <c r="E20" i="3"/>
  <c r="F20" i="3"/>
  <c r="G20" i="3" s="1"/>
  <c r="J20" i="3"/>
  <c r="E21" i="3"/>
  <c r="F21" i="3"/>
  <c r="G21" i="3" s="1"/>
  <c r="J21" i="3"/>
  <c r="E22" i="3"/>
  <c r="F22" i="3"/>
  <c r="G22" i="3" s="1"/>
  <c r="J22" i="3"/>
  <c r="E23" i="3"/>
  <c r="F23" i="3"/>
  <c r="G23" i="3" s="1"/>
  <c r="J23" i="3"/>
  <c r="E24" i="3"/>
  <c r="F24" i="3"/>
  <c r="G24" i="3" s="1"/>
  <c r="J24" i="3"/>
  <c r="E25" i="3"/>
  <c r="F25" i="3"/>
  <c r="G25" i="3" s="1"/>
  <c r="J25" i="3"/>
  <c r="E26" i="3"/>
  <c r="F26" i="3"/>
  <c r="G26" i="3" s="1"/>
  <c r="J26" i="3"/>
  <c r="E27" i="3"/>
  <c r="F27" i="3"/>
  <c r="G27" i="3" s="1"/>
  <c r="J27" i="3"/>
  <c r="E28" i="3"/>
  <c r="F28" i="3"/>
  <c r="G28" i="3" s="1"/>
  <c r="J28" i="3"/>
  <c r="E29" i="3"/>
  <c r="F29" i="3"/>
  <c r="G29" i="3"/>
  <c r="J29" i="3"/>
  <c r="E30" i="3"/>
  <c r="F30" i="3"/>
  <c r="G30" i="3" s="1"/>
  <c r="J30" i="3"/>
  <c r="E31" i="3"/>
  <c r="F31" i="3"/>
  <c r="G31" i="3" s="1"/>
  <c r="J31" i="3"/>
  <c r="E32" i="3"/>
  <c r="F32" i="3"/>
  <c r="G32" i="3" s="1"/>
  <c r="J32" i="3"/>
  <c r="E33" i="3"/>
  <c r="F33" i="3"/>
  <c r="G33" i="3" s="1"/>
  <c r="J33" i="3"/>
  <c r="E34" i="3"/>
  <c r="F34" i="3"/>
  <c r="G34" i="3" s="1"/>
  <c r="J34" i="3"/>
  <c r="A33" i="3"/>
  <c r="A34" i="3"/>
  <c r="C33" i="3"/>
  <c r="D33" i="3"/>
  <c r="C34" i="3"/>
  <c r="D34" i="3"/>
  <c r="J3" i="3"/>
  <c r="F3" i="3"/>
  <c r="E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" i="3"/>
  <c r="A32" i="3" l="1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G3" i="3"/>
  <c r="A3" i="3"/>
  <c r="G78" i="1" l="1"/>
  <c r="G35" i="1"/>
  <c r="H13" i="1"/>
  <c r="I13" i="1" a="1"/>
  <c r="I13" i="1" s="1"/>
  <c r="J13" i="1" s="1"/>
  <c r="J12" i="1" s="1"/>
  <c r="H15" i="1"/>
  <c r="H17" i="1"/>
  <c r="I17" i="1" a="1"/>
  <c r="I17" i="1" s="1"/>
  <c r="J17" i="1" s="1"/>
  <c r="J16" i="1" s="1"/>
  <c r="H19" i="1"/>
  <c r="H20" i="1"/>
  <c r="J20" i="1" s="1"/>
  <c r="H22" i="1"/>
  <c r="I22" i="1" a="1"/>
  <c r="I22" i="1" s="1"/>
  <c r="H24" i="1"/>
  <c r="H25" i="1"/>
  <c r="H27" i="1"/>
  <c r="I27" i="1" a="1"/>
  <c r="I27" i="1" s="1"/>
  <c r="H29" i="1"/>
  <c r="H30" i="1"/>
  <c r="H31" i="1"/>
  <c r="H33" i="1"/>
  <c r="I33" i="1" a="1"/>
  <c r="I33" i="1" s="1"/>
  <c r="H36" i="1"/>
  <c r="J36" i="1" s="1"/>
  <c r="H37" i="1"/>
  <c r="H39" i="1"/>
  <c r="I39" i="1" a="1"/>
  <c r="I39" i="1" s="1"/>
  <c r="H41" i="1"/>
  <c r="H43" i="1"/>
  <c r="I43" i="1" a="1"/>
  <c r="I43" i="1" s="1"/>
  <c r="J43" i="1" s="1"/>
  <c r="J42" i="1" s="1"/>
  <c r="H45" i="1"/>
  <c r="J45" i="1" s="1"/>
  <c r="J44" i="1" s="1"/>
  <c r="H47" i="1"/>
  <c r="I47" i="1" a="1"/>
  <c r="I47" i="1" s="1"/>
  <c r="J47" i="1" s="1"/>
  <c r="J46" i="1" s="1"/>
  <c r="H49" i="1"/>
  <c r="J49" i="1" s="1"/>
  <c r="H50" i="1"/>
  <c r="H54" i="1"/>
  <c r="I54" i="1" a="1"/>
  <c r="I54" i="1" s="1"/>
  <c r="H56" i="1"/>
  <c r="H57" i="1"/>
  <c r="H58" i="1"/>
  <c r="H60" i="1"/>
  <c r="I60" i="1" a="1"/>
  <c r="I60" i="1" s="1"/>
  <c r="H62" i="1"/>
  <c r="H63" i="1"/>
  <c r="H65" i="1"/>
  <c r="I65" i="1" a="1"/>
  <c r="I65" i="1" s="1"/>
  <c r="H67" i="1"/>
  <c r="H68" i="1"/>
  <c r="J68" i="1"/>
  <c r="H70" i="1"/>
  <c r="I70" i="1" a="1"/>
  <c r="I70" i="1" s="1"/>
  <c r="H72" i="1"/>
  <c r="H74" i="1"/>
  <c r="I74" i="1" a="1"/>
  <c r="I74" i="1" s="1"/>
  <c r="H76" i="1"/>
  <c r="H77" i="1"/>
  <c r="H78" i="1"/>
  <c r="H79" i="1"/>
  <c r="H80" i="1"/>
  <c r="H81" i="1"/>
  <c r="H83" i="1"/>
  <c r="I83" i="1" a="1"/>
  <c r="I83" i="1" s="1"/>
  <c r="H85" i="1"/>
  <c r="H86" i="1"/>
  <c r="H88" i="1"/>
  <c r="I88" i="1" a="1"/>
  <c r="I88" i="1" s="1"/>
  <c r="H90" i="1"/>
  <c r="H91" i="1"/>
  <c r="H92" i="1"/>
  <c r="H94" i="1"/>
  <c r="I94" i="1" a="1"/>
  <c r="I94" i="1" s="1"/>
  <c r="H96" i="1"/>
  <c r="H97" i="1"/>
  <c r="H98" i="1"/>
  <c r="H100" i="1"/>
  <c r="I100" i="1" a="1"/>
  <c r="I100" i="1" s="1"/>
  <c r="H102" i="1"/>
  <c r="H103" i="1"/>
  <c r="H105" i="1"/>
  <c r="I105" i="1" a="1"/>
  <c r="I105" i="1" s="1"/>
  <c r="H107" i="1"/>
  <c r="H111" i="1"/>
  <c r="I111" i="1" a="1"/>
  <c r="I111" i="1" s="1"/>
  <c r="J111" i="1" s="1"/>
  <c r="J110" i="1" s="1"/>
  <c r="H113" i="1"/>
  <c r="H114" i="1"/>
  <c r="J114" i="1" s="1"/>
  <c r="H115" i="1"/>
  <c r="H117" i="1"/>
  <c r="I117" i="1" a="1"/>
  <c r="I117" i="1" s="1"/>
  <c r="H119" i="1"/>
  <c r="H120" i="1"/>
  <c r="H121" i="1"/>
  <c r="H122" i="1"/>
  <c r="H126" i="1"/>
  <c r="I126" i="1" a="1"/>
  <c r="I126" i="1" s="1"/>
  <c r="H128" i="1"/>
  <c r="H129" i="1"/>
  <c r="H130" i="1"/>
  <c r="H131" i="1"/>
  <c r="H132" i="1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J25" i="1" l="1"/>
  <c r="J78" i="1"/>
  <c r="J91" i="1"/>
  <c r="H35" i="1"/>
  <c r="J39" i="1"/>
  <c r="J38" i="1" s="1"/>
  <c r="J85" i="1"/>
  <c r="J98" i="1"/>
  <c r="J37" i="1"/>
  <c r="J130" i="1"/>
  <c r="J121" i="1"/>
  <c r="J67" i="1"/>
  <c r="J66" i="1" s="1"/>
  <c r="J76" i="1"/>
  <c r="J65" i="1"/>
  <c r="J64" i="1" s="1"/>
  <c r="J56" i="1"/>
  <c r="J41" i="1"/>
  <c r="J40" i="1" s="1"/>
  <c r="J31" i="1"/>
  <c r="J128" i="1"/>
  <c r="J97" i="1"/>
  <c r="J126" i="1"/>
  <c r="J125" i="1" s="1"/>
  <c r="J117" i="1"/>
  <c r="J116" i="1" s="1"/>
  <c r="J57" i="1"/>
  <c r="J122" i="1"/>
  <c r="J103" i="1"/>
  <c r="J63" i="1"/>
  <c r="J86" i="1"/>
  <c r="J129" i="1"/>
  <c r="J92" i="1"/>
  <c r="J50" i="1"/>
  <c r="J48" i="1" s="1"/>
  <c r="J30" i="1"/>
  <c r="J107" i="1"/>
  <c r="J106" i="1" s="1"/>
  <c r="J80" i="1"/>
  <c r="J113" i="1"/>
  <c r="J131" i="1"/>
  <c r="J132" i="1"/>
  <c r="J120" i="1"/>
  <c r="J119" i="1"/>
  <c r="J79" i="1"/>
  <c r="J115" i="1"/>
  <c r="J81" i="1"/>
  <c r="E24" i="2"/>
  <c r="J22" i="1"/>
  <c r="J21" i="1" s="1"/>
  <c r="J100" i="1"/>
  <c r="J99" i="1" s="1"/>
  <c r="J27" i="1"/>
  <c r="J26" i="1" s="1"/>
  <c r="J105" i="1"/>
  <c r="J104" i="1" s="1"/>
  <c r="J88" i="1"/>
  <c r="J87" i="1" s="1"/>
  <c r="J54" i="1"/>
  <c r="J53" i="1" s="1"/>
  <c r="J83" i="1"/>
  <c r="J82" i="1" s="1"/>
  <c r="J74" i="1"/>
  <c r="J73" i="1" s="1"/>
  <c r="J62" i="1"/>
  <c r="J19" i="1"/>
  <c r="J18" i="1" s="1"/>
  <c r="J72" i="1"/>
  <c r="J71" i="1" s="1"/>
  <c r="J60" i="1"/>
  <c r="J59" i="1" s="1"/>
  <c r="J102" i="1"/>
  <c r="J96" i="1"/>
  <c r="J70" i="1"/>
  <c r="J69" i="1" s="1"/>
  <c r="J24" i="1"/>
  <c r="J23" i="1" s="1"/>
  <c r="J29" i="1"/>
  <c r="J94" i="1"/>
  <c r="J93" i="1" s="1"/>
  <c r="J77" i="1"/>
  <c r="J58" i="1"/>
  <c r="J15" i="1"/>
  <c r="J14" i="1" s="1"/>
  <c r="J33" i="1"/>
  <c r="J32" i="1" s="1"/>
  <c r="J84" i="1" l="1"/>
  <c r="I35" i="3"/>
  <c r="J90" i="1"/>
  <c r="J89" i="1" s="1"/>
  <c r="J35" i="1"/>
  <c r="J34" i="1" s="1"/>
  <c r="J11" i="1" s="1"/>
  <c r="J10" i="1" s="1"/>
  <c r="J127" i="1"/>
  <c r="J55" i="1"/>
  <c r="J28" i="1"/>
  <c r="J101" i="1"/>
  <c r="J95" i="1"/>
  <c r="J118" i="1"/>
  <c r="J61" i="1"/>
  <c r="J75" i="1"/>
  <c r="J112" i="1"/>
  <c r="J134" i="1"/>
  <c r="J52" i="1" l="1"/>
  <c r="J51" i="1" s="1"/>
  <c r="J135" i="1"/>
  <c r="I36" i="3" s="1"/>
  <c r="J124" i="1"/>
  <c r="J123" i="1" s="1"/>
  <c r="J109" i="1"/>
  <c r="J108" i="1" s="1"/>
  <c r="J9" i="1" l="1"/>
  <c r="J133" i="1" s="1"/>
</calcChain>
</file>

<file path=xl/sharedStrings.xml><?xml version="1.0" encoding="utf-8"?>
<sst xmlns="http://schemas.openxmlformats.org/spreadsheetml/2006/main" count="521" uniqueCount="175">
  <si>
    <t>Объект: «Жилой район «Преображенский» в г. Тюмени. Квартал 8. Участок 72:17:1313004:1005. Многоэтажный жилой дом с нежилыми помещениями ГП-72.215» Секция 1</t>
  </si>
  <si>
    <t>Ведомость объемов работ и расхода материалов по работе: Устройство кровли и сопутствующим работам (согласно проекту шифр АС,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</si>
  <si>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</si>
  <si>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</si>
  <si>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</si>
  <si>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</si>
  <si>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</si>
  <si>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</si>
  <si>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</si>
  <si>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</si>
  <si>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</si>
  <si>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</si>
  <si>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</si>
  <si>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</si>
  <si>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04</t>
  </si>
  <si>
    <t>Кровля</t>
  </si>
  <si>
    <t>04.01</t>
  </si>
  <si>
    <t>Устройство кровли</t>
  </si>
  <si>
    <t>04.01.01</t>
  </si>
  <si>
    <t>Устройство основного пирога наплавляемой кровли</t>
  </si>
  <si>
    <t>04.01.01.00</t>
  </si>
  <si>
    <t>Устройство основного пирога кровли</t>
  </si>
  <si>
    <t>Работы:</t>
  </si>
  <si>
    <t>Нанесение битумного праймера под гидроизоляцию</t>
  </si>
  <si>
    <t>м2</t>
  </si>
  <si>
    <t>в т.ч. в местах примыкания</t>
  </si>
  <si>
    <t>Материалы:</t>
  </si>
  <si>
    <t>1</t>
  </si>
  <si>
    <t>№01, Технониколь</t>
  </si>
  <si>
    <t>битумный</t>
  </si>
  <si>
    <t>л (дм3)</t>
  </si>
  <si>
    <t>Технониколь №01</t>
  </si>
  <si>
    <t>Укладка пароизоляции по подготовленному основанию насухо (с проклейкой швов)</t>
  </si>
  <si>
    <t>Пленка строительная</t>
  </si>
  <si>
    <t>гидропароизоляционная</t>
  </si>
  <si>
    <t>Изоспан D</t>
  </si>
  <si>
    <t>2</t>
  </si>
  <si>
    <t>KL+, Изоспан</t>
  </si>
  <si>
    <t>усиленная двухсторонняя 25мм,25м</t>
  </si>
  <si>
    <t>шт</t>
  </si>
  <si>
    <t xml:space="preserve"> Лента Изоспан KL+</t>
  </si>
  <si>
    <t>Укладка утеплителя толщ. 200мм.</t>
  </si>
  <si>
    <t>экструзионный 1180х580х100мм 35кг/м3</t>
  </si>
  <si>
    <t>м3</t>
  </si>
  <si>
    <t>В два слоя</t>
  </si>
  <si>
    <t>противопожарная</t>
  </si>
  <si>
    <t>баллон</t>
  </si>
  <si>
    <t>Устройство кровель плоских из наплавляемых материалов в 2 слоя</t>
  </si>
  <si>
    <t>ЭКП 10х1м</t>
  </si>
  <si>
    <t>ЭПП 10х1м</t>
  </si>
  <si>
    <t>3</t>
  </si>
  <si>
    <t>Газ-пропан</t>
  </si>
  <si>
    <t>Устройство стяжек сборных из плоских асбестоцементных листов плоских (2слоя)</t>
  </si>
  <si>
    <t>ЛП-П 10мм</t>
  </si>
  <si>
    <t>в 2 слоя</t>
  </si>
  <si>
    <t>10мм двойной гнутый для плоского шифера</t>
  </si>
  <si>
    <t>по дереву 3,5х45</t>
  </si>
  <si>
    <t>Устройство уклонообразующего слоя из керамзита с разуклонкой</t>
  </si>
  <si>
    <t>толщ.50-250мм</t>
  </si>
  <si>
    <t>Керамзит</t>
  </si>
  <si>
    <t>фр.10-20мм</t>
  </si>
  <si>
    <t>Устройство уклонообразующего слоя из цементно-песчаной стяжки с разуклонкой</t>
  </si>
  <si>
    <t>Раствор строительный</t>
  </si>
  <si>
    <t>цементно-песчаный М100</t>
  </si>
  <si>
    <t>Утепление парапетов</t>
  </si>
  <si>
    <t>на высоту 1,2 м</t>
  </si>
  <si>
    <t>для теплоизоляции с термоголовкой 10х160</t>
  </si>
  <si>
    <t>100мм 130 кг/м3</t>
  </si>
  <si>
    <t>04.01.02</t>
  </si>
  <si>
    <t>Устройство примыканий наплавляемой кровли</t>
  </si>
  <si>
    <t>04.01.02.00</t>
  </si>
  <si>
    <t>Монтаж краевой рейки в примыканию к парапету с герметизацией по верху</t>
  </si>
  <si>
    <t>пог. м</t>
  </si>
  <si>
    <t>алюминиевая 3000х32х3,0</t>
  </si>
  <si>
    <t>полиуретановый</t>
  </si>
  <si>
    <t>туб.</t>
  </si>
  <si>
    <t>6х40</t>
  </si>
  <si>
    <t>Монтаж утеплителя (минплита) толщ.100мм</t>
  </si>
  <si>
    <t>Утеплитель до пола (вентшахты)</t>
  </si>
  <si>
    <t>Монтаж утеплителя (минплита) толщ.150мм</t>
  </si>
  <si>
    <t>для теплоизоляции с термоголовкой 10х220</t>
  </si>
  <si>
    <t>150мм 130 кг/м3</t>
  </si>
  <si>
    <t>Обшивка асбестоцементными листами</t>
  </si>
  <si>
    <t>вентшахты, кладки вокруг фановых труб, парапет</t>
  </si>
  <si>
    <t>рамный металлический 10х202</t>
  </si>
  <si>
    <t>рамный металлический 10х152</t>
  </si>
  <si>
    <t>4</t>
  </si>
  <si>
    <t>обрезная антисептированная 50х100х6000</t>
  </si>
  <si>
    <t>5</t>
  </si>
  <si>
    <t>обрезная антисептированная 50х150х6000</t>
  </si>
  <si>
    <t>6</t>
  </si>
  <si>
    <t>Усиление примыканий, углов и стыков АЦЛ</t>
  </si>
  <si>
    <t>200мм- углы, 150мм- стыки</t>
  </si>
  <si>
    <t>Устройство галтели в примыканиях из асбестоцементных листов</t>
  </si>
  <si>
    <t>шаг 300мм примыкание только к АЦЛ</t>
  </si>
  <si>
    <t>шаг 300мм, примыкание только к парапету</t>
  </si>
  <si>
    <t>Устройство примыканий водоизоляционного слоя и оклеечная гидроизоляция (2 слоя)</t>
  </si>
  <si>
    <t>Устройство примыканий пароизоляционного слоя к вертикальным конструкциям</t>
  </si>
  <si>
    <t>на высоту 250мм + узел 4.8 04/2024-АСУ, лист 4.2</t>
  </si>
  <si>
    <t>Изоспан KL+</t>
  </si>
  <si>
    <t>Устройство цементно-песчаной стяжки по верху парапета</t>
  </si>
  <si>
    <t>ГЭСН 12-01-015-03</t>
  </si>
  <si>
    <t>04.01.05</t>
  </si>
  <si>
    <t>Монтаж водоприемных воронок, монтаж аэраторов</t>
  </si>
  <si>
    <t>04.01.05.00</t>
  </si>
  <si>
    <t>Монтаж водоприемных воронок, Монтаж аэраторов</t>
  </si>
  <si>
    <t>Монтаж аэраторов</t>
  </si>
  <si>
    <t>160х460мм</t>
  </si>
  <si>
    <t>Технониколь или анолог</t>
  </si>
  <si>
    <t>Монтаж водоприемных воронок</t>
  </si>
  <si>
    <t>DN-110</t>
  </si>
  <si>
    <t>С отводом и листвоуловителем ТП-01.П.ПП черная, на козырьки 2-го этажа</t>
  </si>
  <si>
    <t>Татполимер</t>
  </si>
  <si>
    <t>Воронка кровельная ТП 01.100/6-Э с обжимным фланцем и электрообогревом, на основную кровлю и на кровлю террас</t>
  </si>
  <si>
    <t>04.01.07</t>
  </si>
  <si>
    <t>Монтаж парапетных крышек</t>
  </si>
  <si>
    <t>04.01.07.00</t>
  </si>
  <si>
    <t>распорный полипропилен 6х120</t>
  </si>
  <si>
    <t>Крепление с шагом в 200мм</t>
  </si>
  <si>
    <t>оцинк.сталь 560мм 0,7мм RAL9004</t>
  </si>
  <si>
    <t>Ширина развертки - 20х50х90х560х120х50х20 мм.
10см перехлест,  2м длина профиля. Размеры уточнить по месту. Основная кровля.</t>
  </si>
  <si>
    <t>оцинк.сталь 460мм 0,7мм RAL9004</t>
  </si>
  <si>
    <t>Ширина развертки - 20х50х90х460х120х50х20 мм.
10см перехлест,  2м длина профиля. Размеры уточнить по месту. Терассы.</t>
  </si>
  <si>
    <t>Soudaseal 240 FC, Soudal</t>
  </si>
  <si>
    <t>гибридный полимерный</t>
  </si>
  <si>
    <t>Soudaseal 240 FC (герметизация стыков)</t>
  </si>
  <si>
    <t>кровельные 4,8х120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</si>
  <si>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</si>
  <si>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</si>
  <si>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</si>
  <si>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</si>
  <si>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</si>
  <si>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Закупка подрядчик</t>
  </si>
  <si>
    <t>ЛСР</t>
  </si>
  <si>
    <t>ЛСРГуид</t>
  </si>
  <si>
    <t>ГП-72.215.01.04.01 Секция 1_Устройство кровли №1</t>
  </si>
  <si>
    <t>cd71ab29-3d7a-11f1-9618-db392af1e994</t>
  </si>
  <si>
    <t>Итог</t>
  </si>
  <si>
    <t>Локальный сметный расчет (ЛСР) №1</t>
  </si>
  <si>
    <t>Праймер битумный</t>
  </si>
  <si>
    <t>Лента клейкая усиленная двухсторонняя 25мм,25м</t>
  </si>
  <si>
    <t>Пенополистирол экструзионный 1180х580х100мм 35кг/м3</t>
  </si>
  <si>
    <t>Пена монтажная противопожарная</t>
  </si>
  <si>
    <t>Унифлекс ЭКП 10х1м</t>
  </si>
  <si>
    <t>Унифлекс ЭПП 10х1м</t>
  </si>
  <si>
    <t>Лист асбестоцементный ЛП-П 10мм</t>
  </si>
  <si>
    <t>Кляймер 10мм двойной гнутый для плоского шифера</t>
  </si>
  <si>
    <t>Саморезы по дереву 3,5х45</t>
  </si>
  <si>
    <t>Дюбель для теплоизоляции с термоголовкой 10х160</t>
  </si>
  <si>
    <t>Плита минераловатная 100мм 130 кг/м3</t>
  </si>
  <si>
    <t>Рейка краевая алюминиевая 3000х32х3,0</t>
  </si>
  <si>
    <t>Герметик полиуретановый</t>
  </si>
  <si>
    <t>Дюбель-гвоздь 6х40</t>
  </si>
  <si>
    <t>Дюбель для теплоизоляции с термоголовкой 10х220</t>
  </si>
  <si>
    <t>Плита минераловатная 150мм 130 кг/м3</t>
  </si>
  <si>
    <t>Дюбель рамный металлический 10х202</t>
  </si>
  <si>
    <t>Дюбель рамный металлический 10х152</t>
  </si>
  <si>
    <t>Доска обрезная антисептированная 50х100х6000</t>
  </si>
  <si>
    <t>Доска обрезная антисептированная 50х150х6000</t>
  </si>
  <si>
    <t>Аэратор 160х460мм</t>
  </si>
  <si>
    <t>Воронка кровельная тип 1</t>
  </si>
  <si>
    <t>Воронка кровельная тип 2</t>
  </si>
  <si>
    <t>Дюбель распорный полипропилен 6х120</t>
  </si>
  <si>
    <t>Крышка парапетная оцинк.сталь 560мм 0,7мм RAL9004</t>
  </si>
  <si>
    <t>Крышка парапетная оцинк.сталь 460мм 0,7мм RAL9004</t>
  </si>
  <si>
    <t>Герметик гибридный полимерный</t>
  </si>
  <si>
    <t>Саморезы кровельные 4,8х120</t>
  </si>
  <si>
    <t>Спецификация материалов</t>
  </si>
  <si>
    <t>Марка/ Завод изготовитель</t>
  </si>
  <si>
    <t>секция 1</t>
  </si>
  <si>
    <t>Кол-во</t>
  </si>
  <si>
    <t>Цена за ед.</t>
  </si>
  <si>
    <t>Сумма</t>
  </si>
  <si>
    <t>Итого:</t>
  </si>
  <si>
    <t>Проверка: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</si>
</sst>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0.0"/>
  </numFmts>
  <fonts count="13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6" fillId="8" borderId="0" applyNumberFormat="0" applyBorder="0" applyAlignment="0" applyProtection="0"/>
    <xf numFmtId="0" fontId="1" fillId="0" borderId="0"/>
  </cellStyleXfs>
  <cellXfs count="113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5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4" fontId="0" fillId="0" borderId="5" xfId="0" applyNumberFormat="1" applyBorder="1" applyAlignment="1">
      <alignment horizontal="right" vertical="center"/>
    </xf>
    <xf numFmtId="2" fontId="0" fillId="0" borderId="5" xfId="0" applyNumberFormat="1" applyBorder="1" applyAlignment="1">
      <alignment horizontal="right" vertical="center"/>
    </xf>
    <xf numFmtId="1" fontId="0" fillId="0" borderId="5" xfId="0" applyNumberFormat="1" applyBorder="1" applyAlignment="1">
      <alignment horizontal="right" vertical="center"/>
    </xf>
    <xf numFmtId="165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5" xfId="0" applyFill="1" applyBorder="1" applyAlignment="1">
      <alignment horizontal="center" vertical="center"/>
    </xf>
    <xf numFmtId="164" fontId="0" fillId="9" borderId="5" xfId="0" applyNumberFormat="1" applyFill="1" applyBorder="1" applyAlignment="1">
      <alignment horizontal="right" vertical="center"/>
    </xf>
    <xf numFmtId="4" fontId="0" fillId="9" borderId="5" xfId="0" applyNumberFormat="1" applyFill="1" applyBorder="1" applyAlignment="1">
      <alignment horizontal="right" vertical="center"/>
    </xf>
    <xf numFmtId="2" fontId="0" fillId="9" borderId="5" xfId="0" applyNumberForma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 wrapText="1"/>
    </xf>
    <xf numFmtId="0" fontId="0" fillId="9" borderId="5" xfId="0" applyFill="1" applyBorder="1" applyAlignment="1">
      <alignment horizontal="left" vertical="center" wrapText="1"/>
    </xf>
    <xf numFmtId="0" fontId="0" fillId="9" borderId="0" xfId="0" applyFill="1" applyAlignment="1">
      <alignment vertical="center"/>
    </xf>
    <xf numFmtId="0" fontId="0" fillId="6" borderId="5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3" fillId="6" borderId="7" xfId="0" applyFont="1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0" fontId="0" fillId="7" borderId="5" xfId="0" applyFill="1" applyBorder="1" applyAlignment="1">
      <alignment horizontal="left" vertical="center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/>
    <xf numFmtId="0" fontId="7" fillId="0" borderId="0" xfId="0" applyFont="1" applyAlignment="1">
      <alignment wrapText="1"/>
    </xf>
    <xf numFmtId="0" fontId="8" fillId="0" borderId="13" xfId="0" applyFont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4" fontId="8" fillId="0" borderId="13" xfId="2" applyNumberFormat="1" applyFont="1" applyFill="1" applyBorder="1" applyAlignment="1">
      <alignment horizontal="center" vertical="center" wrapText="1"/>
    </xf>
    <xf numFmtId="0" fontId="7" fillId="9" borderId="13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left" vertical="center" wrapText="1"/>
    </xf>
    <xf numFmtId="0" fontId="7" fillId="9" borderId="13" xfId="0" applyFont="1" applyFill="1" applyBorder="1" applyAlignment="1">
      <alignment horizontal="center" vertical="center" wrapText="1"/>
    </xf>
    <xf numFmtId="4" fontId="7" fillId="9" borderId="13" xfId="0" applyNumberFormat="1" applyFont="1" applyFill="1" applyBorder="1" applyAlignment="1">
      <alignment horizontal="center" vertical="center"/>
    </xf>
    <xf numFmtId="0" fontId="7" fillId="9" borderId="0" xfId="0" applyFont="1" applyFill="1"/>
    <xf numFmtId="0" fontId="7" fillId="0" borderId="0" xfId="0" applyFont="1" applyAlignment="1">
      <alignment horizontal="right"/>
    </xf>
    <xf numFmtId="4" fontId="7" fillId="0" borderId="0" xfId="0" applyNumberFormat="1" applyFont="1" applyAlignment="1">
      <alignment horizontal="center" vertical="center"/>
    </xf>
    <xf numFmtId="43" fontId="7" fillId="9" borderId="0" xfId="1" applyFont="1" applyFill="1" applyBorder="1"/>
    <xf numFmtId="0" fontId="9" fillId="0" borderId="0" xfId="0" applyFont="1"/>
    <xf numFmtId="0" fontId="10" fillId="0" borderId="0" xfId="0" applyFont="1" applyAlignment="1">
      <alignment vertical="center" wrapText="1"/>
    </xf>
    <xf numFmtId="0" fontId="11" fillId="0" borderId="0" xfId="0" applyFont="1"/>
    <xf numFmtId="49" fontId="9" fillId="0" borderId="0" xfId="0" applyNumberFormat="1" applyFont="1" applyAlignment="1">
      <alignment horizontal="center" vertical="center"/>
    </xf>
    <xf numFmtId="0" fontId="9" fillId="0" borderId="0" xfId="3" applyFont="1" applyAlignment="1">
      <alignment vertical="top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7" fillId="0" borderId="0" xfId="3" applyFont="1" applyAlignment="1">
      <alignment vertical="center"/>
    </xf>
    <xf numFmtId="4" fontId="12" fillId="9" borderId="13" xfId="0" applyNumberFormat="1" applyFont="1" applyFill="1" applyBorder="1" applyAlignment="1">
      <alignment horizontal="right" vertical="center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4" fontId="3" fillId="0" borderId="8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4" fillId="6" borderId="7" xfId="0" applyFont="1" applyFill="1" applyBorder="1" applyAlignment="1">
      <alignment horizontal="right" vertical="center"/>
    </xf>
    <xf numFmtId="4" fontId="4" fillId="6" borderId="7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0" borderId="0" xfId="3" applyFont="1" applyAlignment="1">
      <alignment horizontal="left" vertical="top" wrapText="1"/>
    </xf>
  </cellXfs>
  <cellStyles count="4">
    <cellStyle name="Акцент1 2" xfId="2" xr:uid="{1EC540C9-0F24-487E-B285-543EF243C7C4}"/>
    <cellStyle name="Обычный" xfId="0" builtinId="0"/>
    <cellStyle name="Обычный 3 2 2 2" xfId="3" xr:uid="{23FB3AE3-800D-4328-B094-AA118746E7DB}"/>
    <cellStyle name="Финансовый" xfId="1" builtinId="3"/>
  </cellStyles>
  <dxfs count="2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931F50-0CD3-4A48-9F9F-07010124C517}" name="Р" displayName="Р" ref="A3:F24" totalsRowCount="1" headerRowDxfId="20" headerRowBorderDxfId="19" tableBorderDxfId="18" totalsRowBorderDxfId="17">
  <autoFilter ref="A3:F23" xr:uid="{50931F50-0CD3-4A48-9F9F-07010124C517}"/>
  <tableColumns count="6">
    <tableColumn id="1" xr3:uid="{02DEDB32-3102-4747-9A3F-89EFFAB1F97E}" name="Наименование" totalsRowLabel="Итог" dataDxfId="16" totalsRowDxfId="15"/>
    <tableColumn id="2" xr3:uid="{158DF7FF-AF8C-4FC4-BC87-23EA8938DBDB}" name="Ед. изм." dataDxfId="14" totalsRowDxfId="13"/>
    <tableColumn id="3" xr3:uid="{B7BB3572-5FB4-4504-B02B-846F3F3AFCAF}" name="Количество" dataDxfId="12" totalsRowDxfId="11"/>
    <tableColumn id="4" xr3:uid="{9E585E88-EE3B-48B3-A5DB-E3D67B606689}" name="Цена за ед., руб" totalsRowLabel="Итого:" dataDxfId="10" totalsRowDxfId="9"/>
    <tableColumn id="5" xr3:uid="{99BA57F6-8C25-4C85-B4D6-F97D53EA1C00}" name="Сумма, руб" totalsRowFunction="sum" dataDxfId="8" totalsRowDxfId="7">
      <calculatedColumnFormula>ROUND(Р[[#This Row],[Количество]]*Р[[#This Row],[Цена за ед., руб]],2)</calculatedColumnFormula>
    </tableColumn>
    <tableColumn id="6" xr3:uid="{8994EFA1-26F4-48E8-9B4C-5982A4EA0280}" name="Примечание" dataDxfId="6" totalsRow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L137"/>
  <sheetViews>
    <sheetView tabSelected="1" workbookViewId="0">
      <pane ySplit="7" topLeftCell="A8" activePane="bottomLeft" state="frozen"/>
      <selection pane="bottomLeft" activeCell="Q100" sqref="Q100"/>
    </sheetView>
  </sheetViews>
  <sheetFormatPr defaultColWidth="10.5" defaultRowHeight="11.45" customHeight="1" outlineLevelRow="4" x14ac:dyDescent="0.2"/>
  <cols>
    <col min="1" max="1" width="9.83203125" style="51" customWidth="1"/>
    <col min="2" max="2" width="36" style="51" customWidth="1"/>
    <col min="3" max="3" width="15.83203125" style="51" customWidth="1"/>
    <col min="4" max="4" width="17" style="51" customWidth="1"/>
    <col min="5" max="5" width="10" style="51" customWidth="1"/>
    <col min="6" max="6" width="9.6640625" style="51" customWidth="1"/>
    <col min="7" max="7" width="10.5" style="51" customWidth="1"/>
    <col min="8" max="8" width="14.6640625" style="51" customWidth="1"/>
    <col min="9" max="9" width="16" style="51" customWidth="1"/>
    <col min="10" max="10" width="17" style="51" customWidth="1"/>
    <col min="11" max="11" width="35" style="51" customWidth="1"/>
    <col min="12" max="12" width="23.33203125" style="51" customWidth="1"/>
    <col min="13" max="16384" width="10.5" style="52"/>
  </cols>
  <sheetData>
    <row r="1" spans="1:12" ht="11.1" customHeight="1" x14ac:dyDescent="0.2"/>
    <row r="2" spans="1:12" ht="11.1" customHeight="1" x14ac:dyDescent="0.2">
      <c r="B2" s="103" t="s">
        <v>138</v>
      </c>
      <c r="C2" s="103"/>
      <c r="D2" s="103"/>
      <c r="E2" s="103"/>
      <c r="F2" s="103"/>
      <c r="G2" s="103"/>
      <c r="H2" s="103"/>
      <c r="I2" s="103"/>
      <c r="J2" s="103"/>
    </row>
    <row r="3" spans="1:12" ht="23.1" customHeight="1" x14ac:dyDescent="0.2">
      <c r="B3" s="104" t="s">
        <v>0</v>
      </c>
      <c r="C3" s="104"/>
      <c r="D3" s="104"/>
      <c r="E3" s="104"/>
      <c r="F3" s="104"/>
      <c r="G3" s="104"/>
      <c r="H3" s="104"/>
      <c r="I3" s="104"/>
      <c r="J3" s="104"/>
    </row>
    <row r="4" spans="1:12" ht="11.1" customHeight="1" x14ac:dyDescent="0.2">
      <c r="B4" s="104" t="s">
        <v>1</v>
      </c>
      <c r="C4" s="104"/>
      <c r="D4" s="104"/>
      <c r="E4" s="104"/>
      <c r="F4" s="104"/>
      <c r="G4" s="104"/>
      <c r="H4" s="104"/>
      <c r="I4" s="104"/>
      <c r="J4" s="104"/>
    </row>
    <row r="5" spans="1:12" ht="11.1" customHeight="1" x14ac:dyDescent="0.2"/>
    <row r="6" spans="1:12" ht="11.1" customHeight="1" x14ac:dyDescent="0.2">
      <c r="A6" s="95" t="s">
        <v>2</v>
      </c>
      <c r="B6" s="95" t="s">
        <v>3</v>
      </c>
      <c r="C6" s="105" t="s">
        <v>4</v>
      </c>
      <c r="D6" s="107" t="s">
        <v>5</v>
      </c>
      <c r="E6" s="95" t="s">
        <v>6</v>
      </c>
      <c r="F6" s="97" t="s">
        <v>7</v>
      </c>
      <c r="G6" s="109" t="s">
        <v>8</v>
      </c>
      <c r="H6" s="95" t="s">
        <v>9</v>
      </c>
      <c r="I6" s="97" t="s">
        <v>10</v>
      </c>
      <c r="J6" s="97" t="s">
        <v>11</v>
      </c>
      <c r="K6" s="95" t="s">
        <v>12</v>
      </c>
      <c r="L6" s="97" t="s">
        <v>13</v>
      </c>
    </row>
    <row r="7" spans="1:12" ht="11.1" customHeight="1" x14ac:dyDescent="0.2">
      <c r="A7" s="96"/>
      <c r="B7" s="96"/>
      <c r="C7" s="106"/>
      <c r="D7" s="108"/>
      <c r="E7" s="96"/>
      <c r="F7" s="98"/>
      <c r="G7" s="110"/>
      <c r="H7" s="96"/>
      <c r="I7" s="98"/>
      <c r="J7" s="98"/>
      <c r="K7" s="96"/>
      <c r="L7" s="98"/>
    </row>
    <row r="8" spans="1:12" ht="11.1" customHeight="1" x14ac:dyDescent="0.2">
      <c r="A8" s="4" t="s">
        <v>14</v>
      </c>
      <c r="B8" s="53" t="s">
        <v>15</v>
      </c>
      <c r="C8" s="3"/>
      <c r="D8" s="3"/>
      <c r="E8" s="4"/>
      <c r="F8" s="5"/>
      <c r="G8" s="5"/>
      <c r="H8" s="5"/>
      <c r="I8" s="40"/>
      <c r="J8" s="40"/>
      <c r="K8" s="3"/>
      <c r="L8" s="3"/>
    </row>
    <row r="9" spans="1:12" ht="11.1" customHeight="1" outlineLevel="1" x14ac:dyDescent="0.2">
      <c r="A9" s="7" t="s">
        <v>16</v>
      </c>
      <c r="B9" s="54" t="s">
        <v>17</v>
      </c>
      <c r="C9" s="6"/>
      <c r="D9" s="6"/>
      <c r="E9" s="7"/>
      <c r="F9" s="8"/>
      <c r="G9" s="8"/>
      <c r="H9" s="8"/>
      <c r="I9" s="41"/>
      <c r="J9" s="41">
        <f>SUM($J$123,$J$108,$J$51,$J$10)</f>
        <v>0</v>
      </c>
      <c r="K9" s="6"/>
      <c r="L9" s="6"/>
    </row>
    <row r="10" spans="1:12" ht="23.1" customHeight="1" outlineLevel="2" x14ac:dyDescent="0.2">
      <c r="A10" s="10" t="s">
        <v>18</v>
      </c>
      <c r="B10" s="55" t="s">
        <v>19</v>
      </c>
      <c r="C10" s="9"/>
      <c r="D10" s="9"/>
      <c r="E10" s="10"/>
      <c r="F10" s="11"/>
      <c r="G10" s="12"/>
      <c r="H10" s="12"/>
      <c r="I10" s="42"/>
      <c r="J10" s="42">
        <f>SUM($J$11)</f>
        <v>0</v>
      </c>
      <c r="K10" s="13"/>
      <c r="L10" s="13"/>
    </row>
    <row r="11" spans="1:12" ht="23.1" customHeight="1" outlineLevel="3" x14ac:dyDescent="0.2">
      <c r="A11" s="10" t="s">
        <v>20</v>
      </c>
      <c r="B11" s="55" t="s">
        <v>21</v>
      </c>
      <c r="C11" s="9"/>
      <c r="D11" s="9"/>
      <c r="E11" s="10"/>
      <c r="F11" s="11"/>
      <c r="G11" s="12"/>
      <c r="H11" s="12"/>
      <c r="I11" s="42"/>
      <c r="J11" s="42">
        <f>SUM($J$48,$J$46,$J$44,$J$42,$J$40,$J$38,$J$34,$J$32,$J$28,$J$26,$J$23,$J$21,$J$18,$J$16,$J$14,$J$12)</f>
        <v>0</v>
      </c>
      <c r="K11" s="13"/>
      <c r="L11" s="13"/>
    </row>
    <row r="12" spans="1:12" ht="11.1" customHeight="1" outlineLevel="4" x14ac:dyDescent="0.2">
      <c r="A12" s="56"/>
      <c r="B12" s="55" t="s">
        <v>22</v>
      </c>
      <c r="C12" s="14"/>
      <c r="D12" s="14"/>
      <c r="E12" s="14"/>
      <c r="F12" s="14"/>
      <c r="G12" s="14"/>
      <c r="H12" s="14"/>
      <c r="I12" s="43"/>
      <c r="J12" s="44">
        <f>SUM($J$13)</f>
        <v>0</v>
      </c>
      <c r="K12" s="12"/>
      <c r="L12" s="12"/>
    </row>
    <row r="13" spans="1:12" ht="23.1" customHeight="1" outlineLevel="4" x14ac:dyDescent="0.2">
      <c r="A13" s="16"/>
      <c r="B13" s="57" t="s">
        <v>23</v>
      </c>
      <c r="C13" s="15"/>
      <c r="D13" s="15"/>
      <c r="E13" s="16" t="s">
        <v>24</v>
      </c>
      <c r="F13" s="17"/>
      <c r="G13" s="18">
        <v>504.61</v>
      </c>
      <c r="H13" s="18">
        <f>SUM($G$13:$G$13)</f>
        <v>504.61</v>
      </c>
      <c r="I13" s="22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22">
        <f>ROUND($H$13*$I$13,2)</f>
        <v>0</v>
      </c>
      <c r="K13" s="15" t="s">
        <v>25</v>
      </c>
      <c r="L13" s="15"/>
    </row>
    <row r="14" spans="1:12" ht="11.1" customHeight="1" outlineLevel="4" x14ac:dyDescent="0.2">
      <c r="A14" s="56"/>
      <c r="B14" s="55" t="s">
        <v>26</v>
      </c>
      <c r="C14" s="14"/>
      <c r="D14" s="14"/>
      <c r="E14" s="14"/>
      <c r="F14" s="14"/>
      <c r="G14" s="14"/>
      <c r="H14" s="14"/>
      <c r="I14" s="43"/>
      <c r="J14" s="44">
        <f>SUM($J$15)</f>
        <v>0</v>
      </c>
      <c r="K14" s="12"/>
      <c r="L14" s="12"/>
    </row>
    <row r="15" spans="1:12" ht="23.1" customHeight="1" outlineLevel="4" x14ac:dyDescent="0.2">
      <c r="A15" s="16" t="s">
        <v>27</v>
      </c>
      <c r="B15" s="57" t="s">
        <v>139</v>
      </c>
      <c r="C15" s="15" t="s">
        <v>28</v>
      </c>
      <c r="D15" s="15" t="s">
        <v>29</v>
      </c>
      <c r="E15" s="16" t="s">
        <v>30</v>
      </c>
      <c r="F15" s="19">
        <v>0.3</v>
      </c>
      <c r="G15" s="18">
        <v>151.38</v>
      </c>
      <c r="H15" s="18">
        <f>SUM($G$15:$G$15)</f>
        <v>151.38</v>
      </c>
      <c r="I15" s="90">
        <f>VLOOKUP(B15,Материалы!$B$2:$J$34,7,0)</f>
        <v>0</v>
      </c>
      <c r="J15" s="22">
        <f>ROUND($H$15*$I$15,2)</f>
        <v>0</v>
      </c>
      <c r="K15" s="15" t="s">
        <v>31</v>
      </c>
      <c r="L15" s="15" t="s">
        <v>132</v>
      </c>
    </row>
    <row r="16" spans="1:12" ht="11.1" customHeight="1" outlineLevel="4" x14ac:dyDescent="0.2">
      <c r="A16" s="56"/>
      <c r="B16" s="55" t="s">
        <v>22</v>
      </c>
      <c r="C16" s="14"/>
      <c r="D16" s="14"/>
      <c r="E16" s="14"/>
      <c r="F16" s="14"/>
      <c r="G16" s="14"/>
      <c r="H16" s="14"/>
      <c r="I16" s="43"/>
      <c r="J16" s="44">
        <f>SUM($J$17)</f>
        <v>0</v>
      </c>
      <c r="K16" s="12"/>
      <c r="L16" s="12"/>
    </row>
    <row r="17" spans="1:12" ht="35.1" customHeight="1" outlineLevel="4" x14ac:dyDescent="0.2">
      <c r="A17" s="16"/>
      <c r="B17" s="57" t="s">
        <v>32</v>
      </c>
      <c r="C17" s="15"/>
      <c r="D17" s="15"/>
      <c r="E17" s="16" t="s">
        <v>24</v>
      </c>
      <c r="F17" s="17"/>
      <c r="G17" s="18">
        <v>496.62</v>
      </c>
      <c r="H17" s="18">
        <f>SUM($G$17:$G$17)</f>
        <v>496.62</v>
      </c>
      <c r="I17" s="22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22">
        <f>ROUND($H$17*$I$17,2)</f>
        <v>0</v>
      </c>
      <c r="K17" s="15"/>
      <c r="L17" s="15"/>
    </row>
    <row r="18" spans="1:12" ht="11.1" customHeight="1" outlineLevel="4" x14ac:dyDescent="0.2">
      <c r="A18" s="56"/>
      <c r="B18" s="55" t="s">
        <v>26</v>
      </c>
      <c r="C18" s="14"/>
      <c r="D18" s="14"/>
      <c r="E18" s="14"/>
      <c r="F18" s="14"/>
      <c r="G18" s="14"/>
      <c r="H18" s="14"/>
      <c r="I18" s="43"/>
      <c r="J18" s="44">
        <f>SUM($J$19:$J$20)</f>
        <v>0</v>
      </c>
      <c r="K18" s="12"/>
      <c r="L18" s="12"/>
    </row>
    <row r="19" spans="1:12" ht="23.1" customHeight="1" outlineLevel="4" x14ac:dyDescent="0.2">
      <c r="A19" s="16" t="s">
        <v>27</v>
      </c>
      <c r="B19" s="57" t="s">
        <v>33</v>
      </c>
      <c r="C19" s="15"/>
      <c r="D19" s="15" t="s">
        <v>34</v>
      </c>
      <c r="E19" s="16" t="s">
        <v>24</v>
      </c>
      <c r="F19" s="19">
        <v>1.1000000000000001</v>
      </c>
      <c r="G19" s="20">
        <v>550</v>
      </c>
      <c r="H19" s="20">
        <f>SUM($G$19:$G$19)</f>
        <v>550</v>
      </c>
      <c r="I19" s="90">
        <f>VLOOKUP(B19,Материалы!$B$2:$J$34,7,0)</f>
        <v>0</v>
      </c>
      <c r="J19" s="22">
        <f>ROUND($H$19*$I$19,2)</f>
        <v>0</v>
      </c>
      <c r="K19" s="15" t="s">
        <v>35</v>
      </c>
      <c r="L19" s="15" t="s">
        <v>132</v>
      </c>
    </row>
    <row r="20" spans="1:12" ht="35.1" customHeight="1" outlineLevel="4" x14ac:dyDescent="0.2">
      <c r="A20" s="16" t="s">
        <v>36</v>
      </c>
      <c r="B20" s="57" t="s">
        <v>140</v>
      </c>
      <c r="C20" s="15" t="s">
        <v>37</v>
      </c>
      <c r="D20" s="15" t="s">
        <v>38</v>
      </c>
      <c r="E20" s="16" t="s">
        <v>39</v>
      </c>
      <c r="F20" s="17"/>
      <c r="G20" s="20">
        <v>14</v>
      </c>
      <c r="H20" s="20">
        <f>SUM($G$20:$G$20)</f>
        <v>14</v>
      </c>
      <c r="I20" s="90">
        <f>VLOOKUP(B20,Материалы!$B$2:$J$34,7,0)</f>
        <v>0</v>
      </c>
      <c r="J20" s="22">
        <f>ROUND($H$20*$I$20,2)</f>
        <v>0</v>
      </c>
      <c r="K20" s="15" t="s">
        <v>40</v>
      </c>
      <c r="L20" s="15" t="s">
        <v>132</v>
      </c>
    </row>
    <row r="21" spans="1:12" ht="11.1" customHeight="1" outlineLevel="4" x14ac:dyDescent="0.2">
      <c r="A21" s="56"/>
      <c r="B21" s="55" t="s">
        <v>22</v>
      </c>
      <c r="C21" s="14"/>
      <c r="D21" s="14"/>
      <c r="E21" s="14"/>
      <c r="F21" s="14"/>
      <c r="G21" s="14"/>
      <c r="H21" s="14"/>
      <c r="I21" s="43"/>
      <c r="J21" s="44">
        <f>SUM($J$22)</f>
        <v>0</v>
      </c>
      <c r="K21" s="12"/>
      <c r="L21" s="12"/>
    </row>
    <row r="22" spans="1:12" ht="11.1" customHeight="1" outlineLevel="4" x14ac:dyDescent="0.2">
      <c r="A22" s="16"/>
      <c r="B22" s="57" t="s">
        <v>41</v>
      </c>
      <c r="C22" s="15"/>
      <c r="D22" s="15"/>
      <c r="E22" s="16" t="s">
        <v>24</v>
      </c>
      <c r="F22" s="17"/>
      <c r="G22" s="18">
        <v>496.62</v>
      </c>
      <c r="H22" s="18">
        <f>SUM($G$22:$G$22)</f>
        <v>496.62</v>
      </c>
      <c r="I22" s="22">
        <f t="array" ref="I22">INDEX(Р[Цена за ед., руб],MATCH(1,IF(($B22=Р[Наименование])*($K22=Р[Примечание]),{1},($B22=Р[Наименование])*($K22=Р[Примечание])),0))</f>
        <v>0</v>
      </c>
      <c r="J22" s="22">
        <f>ROUND($H$22*$I$22,2)</f>
        <v>0</v>
      </c>
      <c r="K22" s="15"/>
      <c r="L22" s="15"/>
    </row>
    <row r="23" spans="1:12" ht="11.1" customHeight="1" outlineLevel="4" x14ac:dyDescent="0.2">
      <c r="A23" s="56"/>
      <c r="B23" s="55" t="s">
        <v>26</v>
      </c>
      <c r="C23" s="14"/>
      <c r="D23" s="14"/>
      <c r="E23" s="14"/>
      <c r="F23" s="14"/>
      <c r="G23" s="14"/>
      <c r="H23" s="14"/>
      <c r="I23" s="43"/>
      <c r="J23" s="44">
        <f>SUM($J$24:$J$25)</f>
        <v>0</v>
      </c>
      <c r="K23" s="12"/>
      <c r="L23" s="12"/>
    </row>
    <row r="24" spans="1:12" ht="35.1" customHeight="1" outlineLevel="4" x14ac:dyDescent="0.2">
      <c r="A24" s="16" t="s">
        <v>27</v>
      </c>
      <c r="B24" s="57" t="s">
        <v>141</v>
      </c>
      <c r="C24" s="15"/>
      <c r="D24" s="15" t="s">
        <v>42</v>
      </c>
      <c r="E24" s="16" t="s">
        <v>43</v>
      </c>
      <c r="F24" s="19">
        <v>1.03</v>
      </c>
      <c r="G24" s="21">
        <v>102.3</v>
      </c>
      <c r="H24" s="21">
        <f>SUM($G$24:$G$24)</f>
        <v>102.3</v>
      </c>
      <c r="I24" s="90">
        <f>VLOOKUP(B24,Материалы!$B$2:$J$34,7,0)</f>
        <v>0</v>
      </c>
      <c r="J24" s="22">
        <f>ROUND($H$24*$I$24,2)</f>
        <v>0</v>
      </c>
      <c r="K24" s="15" t="s">
        <v>44</v>
      </c>
      <c r="L24" s="15" t="s">
        <v>132</v>
      </c>
    </row>
    <row r="25" spans="1:12" ht="11.1" customHeight="1" outlineLevel="4" x14ac:dyDescent="0.2">
      <c r="A25" s="16" t="s">
        <v>36</v>
      </c>
      <c r="B25" s="57" t="s">
        <v>142</v>
      </c>
      <c r="C25" s="15"/>
      <c r="D25" s="15" t="s">
        <v>45</v>
      </c>
      <c r="E25" s="16" t="s">
        <v>46</v>
      </c>
      <c r="F25" s="17"/>
      <c r="G25" s="20">
        <v>20</v>
      </c>
      <c r="H25" s="20">
        <f>SUM($G$25:$G$25)</f>
        <v>20</v>
      </c>
      <c r="I25" s="90">
        <f>VLOOKUP(B25,Материалы!$B$2:$J$34,7,0)</f>
        <v>0</v>
      </c>
      <c r="J25" s="22">
        <f>ROUND($H$25*$I$25,2)</f>
        <v>0</v>
      </c>
      <c r="K25" s="15"/>
      <c r="L25" s="15" t="s">
        <v>132</v>
      </c>
    </row>
    <row r="26" spans="1:12" ht="11.1" customHeight="1" outlineLevel="4" x14ac:dyDescent="0.2">
      <c r="A26" s="56"/>
      <c r="B26" s="55" t="s">
        <v>22</v>
      </c>
      <c r="C26" s="14"/>
      <c r="D26" s="14"/>
      <c r="E26" s="14"/>
      <c r="F26" s="14"/>
      <c r="G26" s="14"/>
      <c r="H26" s="14"/>
      <c r="I26" s="43"/>
      <c r="J26" s="44">
        <f>SUM($J$27)</f>
        <v>0</v>
      </c>
      <c r="K26" s="12"/>
      <c r="L26" s="12"/>
    </row>
    <row r="27" spans="1:12" ht="23.1" customHeight="1" outlineLevel="4" x14ac:dyDescent="0.2">
      <c r="A27" s="16"/>
      <c r="B27" s="57" t="s">
        <v>47</v>
      </c>
      <c r="C27" s="15"/>
      <c r="D27" s="15"/>
      <c r="E27" s="16" t="s">
        <v>24</v>
      </c>
      <c r="F27" s="17"/>
      <c r="G27" s="18">
        <v>504.61</v>
      </c>
      <c r="H27" s="18">
        <f>SUM($G$27:$G$27)</f>
        <v>504.61</v>
      </c>
      <c r="I27" s="22">
        <f t="array" ref="I27">INDEX(Р[Цена за ед., руб],MATCH(1,IF(($B27=Р[Наименование])*($K27=Р[Примечание]),{1},($B27=Р[Наименование])*($K27=Р[Примечание])),0))</f>
        <v>0</v>
      </c>
      <c r="J27" s="22">
        <f>ROUND($H$27*$I$27,2)</f>
        <v>0</v>
      </c>
      <c r="K27" s="15"/>
      <c r="L27" s="15"/>
    </row>
    <row r="28" spans="1:12" ht="11.1" customHeight="1" outlineLevel="4" x14ac:dyDescent="0.2">
      <c r="A28" s="56"/>
      <c r="B28" s="55" t="s">
        <v>26</v>
      </c>
      <c r="C28" s="14"/>
      <c r="D28" s="14"/>
      <c r="E28" s="14"/>
      <c r="F28" s="14"/>
      <c r="G28" s="14"/>
      <c r="H28" s="14"/>
      <c r="I28" s="43"/>
      <c r="J28" s="44">
        <f>SUM($J$29:$J$31)</f>
        <v>0</v>
      </c>
      <c r="K28" s="12"/>
      <c r="L28" s="12"/>
    </row>
    <row r="29" spans="1:12" ht="11.1" customHeight="1" outlineLevel="4" x14ac:dyDescent="0.2">
      <c r="A29" s="16" t="s">
        <v>27</v>
      </c>
      <c r="B29" s="57" t="s">
        <v>143</v>
      </c>
      <c r="C29" s="15"/>
      <c r="D29" s="15" t="s">
        <v>48</v>
      </c>
      <c r="E29" s="16" t="s">
        <v>24</v>
      </c>
      <c r="F29" s="19">
        <v>1.1399999999999999</v>
      </c>
      <c r="G29" s="18">
        <v>575.25</v>
      </c>
      <c r="H29" s="18">
        <f>SUM($G$29:$G$29)</f>
        <v>575.25</v>
      </c>
      <c r="I29" s="90">
        <f>VLOOKUP(B29,Материалы!$B$2:$J$34,7,0)</f>
        <v>0</v>
      </c>
      <c r="J29" s="22">
        <f>ROUND($H$29*$I$29,2)</f>
        <v>0</v>
      </c>
      <c r="K29" s="15"/>
      <c r="L29" s="15" t="s">
        <v>132</v>
      </c>
    </row>
    <row r="30" spans="1:12" ht="11.1" customHeight="1" outlineLevel="4" x14ac:dyDescent="0.2">
      <c r="A30" s="16" t="s">
        <v>36</v>
      </c>
      <c r="B30" s="57" t="s">
        <v>144</v>
      </c>
      <c r="C30" s="15"/>
      <c r="D30" s="15" t="s">
        <v>49</v>
      </c>
      <c r="E30" s="16" t="s">
        <v>24</v>
      </c>
      <c r="F30" s="19">
        <v>1.1599999999999999</v>
      </c>
      <c r="G30" s="18">
        <v>585.34</v>
      </c>
      <c r="H30" s="18">
        <f>SUM($G$30:$G$30)</f>
        <v>585.34</v>
      </c>
      <c r="I30" s="90">
        <f>VLOOKUP(B30,Материалы!$B$2:$J$34,7,0)</f>
        <v>0</v>
      </c>
      <c r="J30" s="22">
        <f>ROUND($H$30*$I$30,2)</f>
        <v>0</v>
      </c>
      <c r="K30" s="15"/>
      <c r="L30" s="15" t="s">
        <v>132</v>
      </c>
    </row>
    <row r="31" spans="1:12" ht="11.1" customHeight="1" outlineLevel="4" x14ac:dyDescent="0.2">
      <c r="A31" s="16" t="s">
        <v>50</v>
      </c>
      <c r="B31" s="57" t="s">
        <v>51</v>
      </c>
      <c r="C31" s="15"/>
      <c r="D31" s="15"/>
      <c r="E31" s="16" t="s">
        <v>30</v>
      </c>
      <c r="F31" s="19">
        <v>0.94</v>
      </c>
      <c r="G31" s="18">
        <v>474.33</v>
      </c>
      <c r="H31" s="18">
        <f>SUM($G$31:$G$31)</f>
        <v>474.33</v>
      </c>
      <c r="I31" s="90">
        <f>VLOOKUP(B31,Материалы!$B$2:$J$34,7,0)</f>
        <v>0</v>
      </c>
      <c r="J31" s="22">
        <f>ROUND($H$31*$I$31,2)</f>
        <v>0</v>
      </c>
      <c r="K31" s="15"/>
      <c r="L31" s="15" t="s">
        <v>132</v>
      </c>
    </row>
    <row r="32" spans="1:12" ht="11.1" customHeight="1" outlineLevel="4" x14ac:dyDescent="0.2">
      <c r="A32" s="56"/>
      <c r="B32" s="55" t="s">
        <v>22</v>
      </c>
      <c r="C32" s="14"/>
      <c r="D32" s="14"/>
      <c r="E32" s="14"/>
      <c r="F32" s="14"/>
      <c r="G32" s="14"/>
      <c r="H32" s="14"/>
      <c r="I32" s="43"/>
      <c r="J32" s="44">
        <f>SUM($J$33)</f>
        <v>0</v>
      </c>
      <c r="K32" s="12"/>
      <c r="L32" s="12"/>
    </row>
    <row r="33" spans="1:12" ht="35.1" customHeight="1" outlineLevel="4" x14ac:dyDescent="0.2">
      <c r="A33" s="16"/>
      <c r="B33" s="57" t="s">
        <v>52</v>
      </c>
      <c r="C33" s="15"/>
      <c r="D33" s="15"/>
      <c r="E33" s="16" t="s">
        <v>24</v>
      </c>
      <c r="F33" s="17"/>
      <c r="G33" s="18">
        <v>496.62</v>
      </c>
      <c r="H33" s="18">
        <f>SUM($G$33:$G$33)</f>
        <v>496.62</v>
      </c>
      <c r="I33" s="22">
        <f t="array" ref="I33">INDEX(Р[Цена за ед., руб],MATCH(1,IF(($B33=Р[Наименование])*($K33=Р[Примечание]),{1},($B33=Р[Наименование])*($K33=Р[Примечание])),0))</f>
        <v>0</v>
      </c>
      <c r="J33" s="22">
        <f>ROUND($H$33*$I$33,2)</f>
        <v>0</v>
      </c>
      <c r="K33" s="15"/>
      <c r="L33" s="15"/>
    </row>
    <row r="34" spans="1:12" ht="11.1" customHeight="1" outlineLevel="4" x14ac:dyDescent="0.2">
      <c r="A34" s="56"/>
      <c r="B34" s="55" t="s">
        <v>26</v>
      </c>
      <c r="C34" s="14"/>
      <c r="D34" s="14"/>
      <c r="E34" s="14"/>
      <c r="F34" s="14"/>
      <c r="G34" s="14"/>
      <c r="H34" s="14"/>
      <c r="I34" s="43"/>
      <c r="J34" s="44">
        <f>SUM($J$35:$J$37)</f>
        <v>0</v>
      </c>
      <c r="K34" s="12"/>
      <c r="L34" s="12"/>
    </row>
    <row r="35" spans="1:12" s="59" customFormat="1" ht="11.1" customHeight="1" outlineLevel="4" x14ac:dyDescent="0.2">
      <c r="A35" s="47" t="s">
        <v>27</v>
      </c>
      <c r="B35" s="58" t="s">
        <v>145</v>
      </c>
      <c r="C35" s="46"/>
      <c r="D35" s="46" t="s">
        <v>53</v>
      </c>
      <c r="E35" s="47" t="s">
        <v>24</v>
      </c>
      <c r="F35" s="48">
        <v>2.0499999999999998</v>
      </c>
      <c r="G35" s="49">
        <f>ROUND(G33*F35,2)</f>
        <v>1018.07</v>
      </c>
      <c r="H35" s="49">
        <f>SUM($G$35:$G$35)</f>
        <v>1018.07</v>
      </c>
      <c r="I35" s="90">
        <f>VLOOKUP(B35,Материалы!$B$2:$J$34,7,0)</f>
        <v>0</v>
      </c>
      <c r="J35" s="49">
        <f>ROUND($H$35*$I$35,2)</f>
        <v>0</v>
      </c>
      <c r="K35" s="46" t="s">
        <v>54</v>
      </c>
      <c r="L35" s="15" t="s">
        <v>132</v>
      </c>
    </row>
    <row r="36" spans="1:12" ht="35.1" customHeight="1" outlineLevel="4" x14ac:dyDescent="0.2">
      <c r="A36" s="16" t="s">
        <v>36</v>
      </c>
      <c r="B36" s="57" t="s">
        <v>146</v>
      </c>
      <c r="C36" s="15"/>
      <c r="D36" s="15" t="s">
        <v>55</v>
      </c>
      <c r="E36" s="16" t="s">
        <v>39</v>
      </c>
      <c r="F36" s="19">
        <v>4</v>
      </c>
      <c r="G36" s="23">
        <v>1988</v>
      </c>
      <c r="H36" s="23">
        <f>SUM($G$36:$G$36)</f>
        <v>1988</v>
      </c>
      <c r="I36" s="90">
        <f>VLOOKUP(B36,Материалы!$B$2:$J$34,7,0)</f>
        <v>0</v>
      </c>
      <c r="J36" s="22">
        <f>ROUND($H$36*$I$36,2)</f>
        <v>0</v>
      </c>
      <c r="K36" s="15"/>
      <c r="L36" s="15" t="s">
        <v>132</v>
      </c>
    </row>
    <row r="37" spans="1:12" ht="11.1" customHeight="1" outlineLevel="4" x14ac:dyDescent="0.2">
      <c r="A37" s="16" t="s">
        <v>50</v>
      </c>
      <c r="B37" s="57" t="s">
        <v>147</v>
      </c>
      <c r="C37" s="15"/>
      <c r="D37" s="15" t="s">
        <v>56</v>
      </c>
      <c r="E37" s="16" t="s">
        <v>39</v>
      </c>
      <c r="F37" s="19">
        <v>5</v>
      </c>
      <c r="G37" s="23">
        <v>2484</v>
      </c>
      <c r="H37" s="23">
        <f>SUM($G$37:$G$37)</f>
        <v>2484</v>
      </c>
      <c r="I37" s="90">
        <f>VLOOKUP(B37,Материалы!$B$2:$J$34,7,0)</f>
        <v>0</v>
      </c>
      <c r="J37" s="22">
        <f>ROUND($H$37*$I$37,2)</f>
        <v>0</v>
      </c>
      <c r="K37" s="15"/>
      <c r="L37" s="15" t="s">
        <v>132</v>
      </c>
    </row>
    <row r="38" spans="1:12" ht="11.1" customHeight="1" outlineLevel="4" x14ac:dyDescent="0.2">
      <c r="A38" s="56"/>
      <c r="B38" s="55" t="s">
        <v>22</v>
      </c>
      <c r="C38" s="14"/>
      <c r="D38" s="14"/>
      <c r="E38" s="14"/>
      <c r="F38" s="14"/>
      <c r="G38" s="14"/>
      <c r="H38" s="14"/>
      <c r="I38" s="43"/>
      <c r="J38" s="44">
        <f>SUM($J$39)</f>
        <v>0</v>
      </c>
      <c r="K38" s="12"/>
      <c r="L38" s="12"/>
    </row>
    <row r="39" spans="1:12" ht="23.1" customHeight="1" outlineLevel="4" x14ac:dyDescent="0.2">
      <c r="A39" s="16"/>
      <c r="B39" s="57" t="s">
        <v>57</v>
      </c>
      <c r="C39" s="15"/>
      <c r="D39" s="15"/>
      <c r="E39" s="16" t="s">
        <v>24</v>
      </c>
      <c r="F39" s="17"/>
      <c r="G39" s="18">
        <v>496.62</v>
      </c>
      <c r="H39" s="18">
        <f>SUM($G$39:$G$39)</f>
        <v>496.62</v>
      </c>
      <c r="I39" s="22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22">
        <f>ROUND($H$39*$I$39,2)</f>
        <v>0</v>
      </c>
      <c r="K39" s="15" t="s">
        <v>58</v>
      </c>
      <c r="L39" s="15"/>
    </row>
    <row r="40" spans="1:12" ht="11.1" customHeight="1" outlineLevel="4" x14ac:dyDescent="0.2">
      <c r="A40" s="56"/>
      <c r="B40" s="55" t="s">
        <v>26</v>
      </c>
      <c r="C40" s="14"/>
      <c r="D40" s="14"/>
      <c r="E40" s="14"/>
      <c r="F40" s="14"/>
      <c r="G40" s="14"/>
      <c r="H40" s="14"/>
      <c r="I40" s="43"/>
      <c r="J40" s="44">
        <f>SUM($J$41)</f>
        <v>0</v>
      </c>
      <c r="K40" s="12"/>
      <c r="L40" s="12"/>
    </row>
    <row r="41" spans="1:12" ht="11.1" customHeight="1" outlineLevel="4" x14ac:dyDescent="0.2">
      <c r="A41" s="16" t="s">
        <v>27</v>
      </c>
      <c r="B41" s="57" t="s">
        <v>59</v>
      </c>
      <c r="C41" s="15"/>
      <c r="D41" s="15" t="s">
        <v>60</v>
      </c>
      <c r="E41" s="16" t="s">
        <v>43</v>
      </c>
      <c r="F41" s="19">
        <v>1.05</v>
      </c>
      <c r="G41" s="21">
        <v>95.6</v>
      </c>
      <c r="H41" s="21">
        <f>SUM($G$41:$G$41)</f>
        <v>95.6</v>
      </c>
      <c r="I41" s="90">
        <f>VLOOKUP(B41,Материалы!$B$2:$J$34,7,0)</f>
        <v>0</v>
      </c>
      <c r="J41" s="22">
        <f>ROUND($H$41*$I$41,2)</f>
        <v>0</v>
      </c>
      <c r="K41" s="15"/>
      <c r="L41" s="15" t="s">
        <v>132</v>
      </c>
    </row>
    <row r="42" spans="1:12" ht="11.1" customHeight="1" outlineLevel="4" x14ac:dyDescent="0.2">
      <c r="A42" s="56"/>
      <c r="B42" s="55" t="s">
        <v>22</v>
      </c>
      <c r="C42" s="14"/>
      <c r="D42" s="14"/>
      <c r="E42" s="14"/>
      <c r="F42" s="14"/>
      <c r="G42" s="14"/>
      <c r="H42" s="14"/>
      <c r="I42" s="43"/>
      <c r="J42" s="44">
        <f>SUM($J$43)</f>
        <v>0</v>
      </c>
      <c r="K42" s="12"/>
      <c r="L42" s="12"/>
    </row>
    <row r="43" spans="1:12" ht="35.1" customHeight="1" outlineLevel="4" x14ac:dyDescent="0.2">
      <c r="A43" s="16"/>
      <c r="B43" s="57" t="s">
        <v>61</v>
      </c>
      <c r="C43" s="15"/>
      <c r="D43" s="15"/>
      <c r="E43" s="16" t="s">
        <v>24</v>
      </c>
      <c r="F43" s="17"/>
      <c r="G43" s="18">
        <v>3.55</v>
      </c>
      <c r="H43" s="18">
        <f>SUM($G$43:$G$43)</f>
        <v>3.55</v>
      </c>
      <c r="I43" s="22">
        <f t="array" ref="I43">INDEX(Р[Цена за ед., руб],MATCH(1,IF(($B43=Р[Наименование])*($K43=Р[Примечание]),{1},($B43=Р[Наименование])*($K43=Р[Примечание])),0))</f>
        <v>0</v>
      </c>
      <c r="J43" s="22">
        <f>ROUND($H$43*$I$43,2)</f>
        <v>0</v>
      </c>
      <c r="K43" s="15"/>
      <c r="L43" s="15"/>
    </row>
    <row r="44" spans="1:12" ht="11.1" customHeight="1" outlineLevel="4" x14ac:dyDescent="0.2">
      <c r="A44" s="56"/>
      <c r="B44" s="55" t="s">
        <v>26</v>
      </c>
      <c r="C44" s="14"/>
      <c r="D44" s="14"/>
      <c r="E44" s="14"/>
      <c r="F44" s="14"/>
      <c r="G44" s="14"/>
      <c r="H44" s="14"/>
      <c r="I44" s="43"/>
      <c r="J44" s="44">
        <f>SUM($J$45)</f>
        <v>0</v>
      </c>
      <c r="K44" s="12"/>
      <c r="L44" s="12"/>
    </row>
    <row r="45" spans="1:12" ht="23.1" customHeight="1" outlineLevel="4" x14ac:dyDescent="0.2">
      <c r="A45" s="16" t="s">
        <v>27</v>
      </c>
      <c r="B45" s="57" t="s">
        <v>62</v>
      </c>
      <c r="C45" s="15"/>
      <c r="D45" s="15" t="s">
        <v>63</v>
      </c>
      <c r="E45" s="16" t="s">
        <v>43</v>
      </c>
      <c r="F45" s="19">
        <v>1.1000000000000001</v>
      </c>
      <c r="G45" s="18">
        <v>0.28999999999999998</v>
      </c>
      <c r="H45" s="18">
        <f>SUM($G$45:$G$45)</f>
        <v>0.28999999999999998</v>
      </c>
      <c r="I45" s="90">
        <f>VLOOKUP(B45,Материалы!$B$2:$J$34,7,0)</f>
        <v>0</v>
      </c>
      <c r="J45" s="22">
        <f>ROUND($H$45*$I$45,2)</f>
        <v>0</v>
      </c>
      <c r="K45" s="15"/>
      <c r="L45" s="15" t="s">
        <v>132</v>
      </c>
    </row>
    <row r="46" spans="1:12" ht="11.1" customHeight="1" outlineLevel="4" x14ac:dyDescent="0.2">
      <c r="A46" s="56"/>
      <c r="B46" s="55" t="s">
        <v>22</v>
      </c>
      <c r="C46" s="14"/>
      <c r="D46" s="14"/>
      <c r="E46" s="14"/>
      <c r="F46" s="14"/>
      <c r="G46" s="14"/>
      <c r="H46" s="14"/>
      <c r="I46" s="43"/>
      <c r="J46" s="44">
        <f>SUM($J$47)</f>
        <v>0</v>
      </c>
      <c r="K46" s="12"/>
      <c r="L46" s="12"/>
    </row>
    <row r="47" spans="1:12" ht="11.1" customHeight="1" outlineLevel="4" x14ac:dyDescent="0.2">
      <c r="A47" s="16"/>
      <c r="B47" s="57" t="s">
        <v>64</v>
      </c>
      <c r="C47" s="15"/>
      <c r="D47" s="15"/>
      <c r="E47" s="16" t="s">
        <v>24</v>
      </c>
      <c r="F47" s="17"/>
      <c r="G47" s="18">
        <v>117.88</v>
      </c>
      <c r="H47" s="18">
        <f>SUM($G$47:$G$47)</f>
        <v>117.88</v>
      </c>
      <c r="I47" s="22">
        <f t="array" ref="I47">INDEX(Р[Цена за ед., руб],MATCH(1,IF(($B47=Р[Наименование])*($K47=Р[Примечание]),{1},($B47=Р[Наименование])*($K47=Р[Примечание])),0))</f>
        <v>0</v>
      </c>
      <c r="J47" s="22">
        <f>ROUND($H$47*$I$47,2)</f>
        <v>0</v>
      </c>
      <c r="K47" s="15" t="s">
        <v>65</v>
      </c>
      <c r="L47" s="15"/>
    </row>
    <row r="48" spans="1:12" ht="11.1" customHeight="1" outlineLevel="4" x14ac:dyDescent="0.2">
      <c r="A48" s="56"/>
      <c r="B48" s="55" t="s">
        <v>26</v>
      </c>
      <c r="C48" s="14"/>
      <c r="D48" s="14"/>
      <c r="E48" s="14"/>
      <c r="F48" s="14"/>
      <c r="G48" s="14"/>
      <c r="H48" s="14"/>
      <c r="I48" s="43"/>
      <c r="J48" s="44">
        <f>SUM($J$49:$J$50)</f>
        <v>0</v>
      </c>
      <c r="K48" s="12"/>
      <c r="L48" s="12"/>
    </row>
    <row r="49" spans="1:12" ht="47.1" customHeight="1" outlineLevel="4" x14ac:dyDescent="0.2">
      <c r="A49" s="16" t="s">
        <v>27</v>
      </c>
      <c r="B49" s="57" t="s">
        <v>148</v>
      </c>
      <c r="C49" s="15"/>
      <c r="D49" s="15" t="s">
        <v>66</v>
      </c>
      <c r="E49" s="16" t="s">
        <v>39</v>
      </c>
      <c r="F49" s="19">
        <v>7</v>
      </c>
      <c r="G49" s="20">
        <v>830</v>
      </c>
      <c r="H49" s="20">
        <f>SUM($G$49:$G$49)</f>
        <v>830</v>
      </c>
      <c r="I49" s="90">
        <f>VLOOKUP(B49,Материалы!$B$2:$J$34,7,0)</f>
        <v>0</v>
      </c>
      <c r="J49" s="22">
        <f>ROUND($H$49*$I$49,2)</f>
        <v>0</v>
      </c>
      <c r="K49" s="15"/>
      <c r="L49" s="15" t="s">
        <v>132</v>
      </c>
    </row>
    <row r="50" spans="1:12" ht="11.1" customHeight="1" outlineLevel="4" x14ac:dyDescent="0.2">
      <c r="A50" s="16" t="s">
        <v>36</v>
      </c>
      <c r="B50" s="57" t="s">
        <v>149</v>
      </c>
      <c r="C50" s="15"/>
      <c r="D50" s="15" t="s">
        <v>67</v>
      </c>
      <c r="E50" s="16" t="s">
        <v>43</v>
      </c>
      <c r="F50" s="19">
        <v>1.07</v>
      </c>
      <c r="G50" s="18">
        <v>12.61</v>
      </c>
      <c r="H50" s="18">
        <f>SUM($G$50:$G$50)</f>
        <v>12.61</v>
      </c>
      <c r="I50" s="90">
        <f>VLOOKUP(B50,Материалы!$B$2:$J$34,7,0)</f>
        <v>0</v>
      </c>
      <c r="J50" s="22">
        <f>ROUND($H$50*$I$50,2)</f>
        <v>0</v>
      </c>
      <c r="K50" s="15"/>
      <c r="L50" s="15" t="s">
        <v>132</v>
      </c>
    </row>
    <row r="51" spans="1:12" ht="23.1" customHeight="1" outlineLevel="2" x14ac:dyDescent="0.2">
      <c r="A51" s="10" t="s">
        <v>68</v>
      </c>
      <c r="B51" s="55" t="s">
        <v>69</v>
      </c>
      <c r="C51" s="9"/>
      <c r="D51" s="9"/>
      <c r="E51" s="10"/>
      <c r="F51" s="11"/>
      <c r="G51" s="12"/>
      <c r="H51" s="12"/>
      <c r="I51" s="42"/>
      <c r="J51" s="42">
        <f>SUM($J$52)</f>
        <v>0</v>
      </c>
      <c r="K51" s="13"/>
      <c r="L51" s="13"/>
    </row>
    <row r="52" spans="1:12" ht="23.1" customHeight="1" outlineLevel="3" x14ac:dyDescent="0.2">
      <c r="A52" s="10" t="s">
        <v>70</v>
      </c>
      <c r="B52" s="55" t="s">
        <v>69</v>
      </c>
      <c r="C52" s="9"/>
      <c r="D52" s="9"/>
      <c r="E52" s="10"/>
      <c r="F52" s="11"/>
      <c r="G52" s="12"/>
      <c r="H52" s="12"/>
      <c r="I52" s="42"/>
      <c r="J52" s="42">
        <f>SUM($J$106,$J$104,$J$101,$J$99,$J$95,$J$93,$J$89,$J$87,$J$84,$J$82,$J$75,$J$73,$J$71,$J$69,$J$66,$J$64,$J$61,$J$59,$J$55,$J$53)</f>
        <v>0</v>
      </c>
      <c r="K52" s="13"/>
      <c r="L52" s="13"/>
    </row>
    <row r="53" spans="1:12" ht="11.1" customHeight="1" outlineLevel="4" x14ac:dyDescent="0.2">
      <c r="A53" s="56"/>
      <c r="B53" s="55" t="s">
        <v>22</v>
      </c>
      <c r="C53" s="14"/>
      <c r="D53" s="14"/>
      <c r="E53" s="14"/>
      <c r="F53" s="14"/>
      <c r="G53" s="14"/>
      <c r="H53" s="14"/>
      <c r="I53" s="43"/>
      <c r="J53" s="44">
        <f>SUM($J$54)</f>
        <v>0</v>
      </c>
      <c r="K53" s="12"/>
      <c r="L53" s="12"/>
    </row>
    <row r="54" spans="1:12" ht="23.1" customHeight="1" outlineLevel="4" x14ac:dyDescent="0.2">
      <c r="A54" s="16"/>
      <c r="B54" s="57" t="s">
        <v>71</v>
      </c>
      <c r="C54" s="15"/>
      <c r="D54" s="15"/>
      <c r="E54" s="16" t="s">
        <v>72</v>
      </c>
      <c r="F54" s="17"/>
      <c r="G54" s="18">
        <v>98.33</v>
      </c>
      <c r="H54" s="18">
        <f>SUM($G$54:$G$54)</f>
        <v>98.33</v>
      </c>
      <c r="I54" s="22">
        <f t="array" ref="I54">INDEX(Р[Цена за ед., руб],MATCH(1,IF(($B54=Р[Наименование])*($K54=Р[Примечание]),{1},($B54=Р[Наименование])*($K54=Р[Примечание])),0))</f>
        <v>0</v>
      </c>
      <c r="J54" s="22">
        <f>ROUND($H$54*$I$54,2)</f>
        <v>0</v>
      </c>
      <c r="K54" s="15"/>
      <c r="L54" s="15"/>
    </row>
    <row r="55" spans="1:12" ht="11.1" customHeight="1" outlineLevel="4" x14ac:dyDescent="0.2">
      <c r="A55" s="56"/>
      <c r="B55" s="55" t="s">
        <v>26</v>
      </c>
      <c r="C55" s="14"/>
      <c r="D55" s="14"/>
      <c r="E55" s="14"/>
      <c r="F55" s="14"/>
      <c r="G55" s="14"/>
      <c r="H55" s="14"/>
      <c r="I55" s="43"/>
      <c r="J55" s="44">
        <f>SUM($J$56:$J$58)</f>
        <v>0</v>
      </c>
      <c r="K55" s="12"/>
      <c r="L55" s="12"/>
    </row>
    <row r="56" spans="1:12" ht="23.1" customHeight="1" outlineLevel="4" x14ac:dyDescent="0.2">
      <c r="A56" s="16" t="s">
        <v>27</v>
      </c>
      <c r="B56" s="57" t="s">
        <v>150</v>
      </c>
      <c r="C56" s="15"/>
      <c r="D56" s="15" t="s">
        <v>73</v>
      </c>
      <c r="E56" s="16" t="s">
        <v>72</v>
      </c>
      <c r="F56" s="19">
        <v>1.07</v>
      </c>
      <c r="G56" s="18">
        <v>105.21</v>
      </c>
      <c r="H56" s="18">
        <f>SUM($G$56:$G$56)</f>
        <v>105.21</v>
      </c>
      <c r="I56" s="90">
        <f>VLOOKUP(B56,Материалы!$B$2:$J$34,7,0)</f>
        <v>0</v>
      </c>
      <c r="J56" s="22">
        <f>ROUND($H$56*$I$56,2)</f>
        <v>0</v>
      </c>
      <c r="K56" s="15"/>
      <c r="L56" s="15" t="s">
        <v>132</v>
      </c>
    </row>
    <row r="57" spans="1:12" ht="11.1" customHeight="1" outlineLevel="4" x14ac:dyDescent="0.2">
      <c r="A57" s="16" t="s">
        <v>36</v>
      </c>
      <c r="B57" s="57" t="s">
        <v>151</v>
      </c>
      <c r="C57" s="15"/>
      <c r="D57" s="15" t="s">
        <v>74</v>
      </c>
      <c r="E57" s="16" t="s">
        <v>75</v>
      </c>
      <c r="F57" s="17"/>
      <c r="G57" s="20">
        <v>5</v>
      </c>
      <c r="H57" s="20">
        <f>SUM($G$57:$G$57)</f>
        <v>5</v>
      </c>
      <c r="I57" s="90">
        <f>VLOOKUP(B57,Материалы!$B$2:$J$34,7,0)</f>
        <v>0</v>
      </c>
      <c r="J57" s="22">
        <f>ROUND($H$57*$I$57,2)</f>
        <v>0</v>
      </c>
      <c r="K57" s="15"/>
      <c r="L57" s="15" t="s">
        <v>132</v>
      </c>
    </row>
    <row r="58" spans="1:12" ht="11.1" customHeight="1" outlineLevel="4" x14ac:dyDescent="0.2">
      <c r="A58" s="16" t="s">
        <v>50</v>
      </c>
      <c r="B58" s="57" t="s">
        <v>152</v>
      </c>
      <c r="C58" s="15"/>
      <c r="D58" s="15" t="s">
        <v>76</v>
      </c>
      <c r="E58" s="16" t="s">
        <v>39</v>
      </c>
      <c r="F58" s="17"/>
      <c r="G58" s="20">
        <v>530</v>
      </c>
      <c r="H58" s="20">
        <f>SUM($G$58:$G$58)</f>
        <v>530</v>
      </c>
      <c r="I58" s="90">
        <f>VLOOKUP(B58,Материалы!$B$2:$J$34,7,0)</f>
        <v>0</v>
      </c>
      <c r="J58" s="22">
        <f>ROUND($H$58*$I$58,2)</f>
        <v>0</v>
      </c>
      <c r="K58" s="15"/>
      <c r="L58" s="15" t="s">
        <v>132</v>
      </c>
    </row>
    <row r="59" spans="1:12" ht="11.1" customHeight="1" outlineLevel="4" x14ac:dyDescent="0.2">
      <c r="A59" s="56"/>
      <c r="B59" s="55" t="s">
        <v>22</v>
      </c>
      <c r="C59" s="14"/>
      <c r="D59" s="14"/>
      <c r="E59" s="14"/>
      <c r="F59" s="14"/>
      <c r="G59" s="14"/>
      <c r="H59" s="14"/>
      <c r="I59" s="43"/>
      <c r="J59" s="44">
        <f>SUM($J$60)</f>
        <v>0</v>
      </c>
      <c r="K59" s="12"/>
      <c r="L59" s="12"/>
    </row>
    <row r="60" spans="1:12" ht="23.1" customHeight="1" outlineLevel="4" x14ac:dyDescent="0.2">
      <c r="A60" s="16"/>
      <c r="B60" s="57" t="s">
        <v>77</v>
      </c>
      <c r="C60" s="15"/>
      <c r="D60" s="15"/>
      <c r="E60" s="16" t="s">
        <v>24</v>
      </c>
      <c r="F60" s="17"/>
      <c r="G60" s="18">
        <v>210.72</v>
      </c>
      <c r="H60" s="18">
        <f>SUM($G$60:$G$60)</f>
        <v>210.72</v>
      </c>
      <c r="I60" s="22">
        <f t="array" ref="I60">INDEX(Р[Цена за ед., руб],MATCH(1,IF(($B60=Р[Наименование])*($K60=Р[Примечание]),{1},($B60=Р[Наименование])*($K60=Р[Примечание])),0))</f>
        <v>0</v>
      </c>
      <c r="J60" s="22">
        <f>ROUND($H$60*$I$60,2)</f>
        <v>0</v>
      </c>
      <c r="K60" s="15" t="s">
        <v>78</v>
      </c>
      <c r="L60" s="15"/>
    </row>
    <row r="61" spans="1:12" ht="11.1" customHeight="1" outlineLevel="4" x14ac:dyDescent="0.2">
      <c r="A61" s="56"/>
      <c r="B61" s="55" t="s">
        <v>26</v>
      </c>
      <c r="C61" s="14"/>
      <c r="D61" s="14"/>
      <c r="E61" s="14"/>
      <c r="F61" s="14"/>
      <c r="G61" s="14"/>
      <c r="H61" s="14"/>
      <c r="I61" s="43"/>
      <c r="J61" s="44">
        <f>SUM($J$62:$J$63)</f>
        <v>0</v>
      </c>
      <c r="K61" s="12"/>
      <c r="L61" s="12"/>
    </row>
    <row r="62" spans="1:12" ht="47.1" customHeight="1" outlineLevel="4" x14ac:dyDescent="0.2">
      <c r="A62" s="16" t="s">
        <v>27</v>
      </c>
      <c r="B62" s="57" t="s">
        <v>148</v>
      </c>
      <c r="C62" s="15"/>
      <c r="D62" s="15" t="s">
        <v>66</v>
      </c>
      <c r="E62" s="16" t="s">
        <v>39</v>
      </c>
      <c r="F62" s="19">
        <v>7</v>
      </c>
      <c r="G62" s="23">
        <v>1480</v>
      </c>
      <c r="H62" s="23">
        <f>SUM($G$62:$G$62)</f>
        <v>1480</v>
      </c>
      <c r="I62" s="90">
        <f>VLOOKUP(B62,Материалы!$B$2:$J$34,7,0)</f>
        <v>0</v>
      </c>
      <c r="J62" s="22">
        <f>ROUND($H$62*$I$62,2)</f>
        <v>0</v>
      </c>
      <c r="K62" s="15"/>
      <c r="L62" s="15" t="s">
        <v>132</v>
      </c>
    </row>
    <row r="63" spans="1:12" ht="11.1" customHeight="1" outlineLevel="4" x14ac:dyDescent="0.2">
      <c r="A63" s="16" t="s">
        <v>36</v>
      </c>
      <c r="B63" s="57" t="s">
        <v>149</v>
      </c>
      <c r="C63" s="15"/>
      <c r="D63" s="15" t="s">
        <v>67</v>
      </c>
      <c r="E63" s="16" t="s">
        <v>43</v>
      </c>
      <c r="F63" s="19">
        <v>1.07</v>
      </c>
      <c r="G63" s="18">
        <v>22.55</v>
      </c>
      <c r="H63" s="18">
        <f>SUM($G$63:$G$63)</f>
        <v>22.55</v>
      </c>
      <c r="I63" s="90">
        <f>VLOOKUP(B63,Материалы!$B$2:$J$34,7,0)</f>
        <v>0</v>
      </c>
      <c r="J63" s="22">
        <f>ROUND($H$63*$I$63,2)</f>
        <v>0</v>
      </c>
      <c r="K63" s="15"/>
      <c r="L63" s="15" t="s">
        <v>132</v>
      </c>
    </row>
    <row r="64" spans="1:12" ht="11.1" customHeight="1" outlineLevel="4" x14ac:dyDescent="0.2">
      <c r="A64" s="56"/>
      <c r="B64" s="55" t="s">
        <v>22</v>
      </c>
      <c r="C64" s="14"/>
      <c r="D64" s="14"/>
      <c r="E64" s="14"/>
      <c r="F64" s="14"/>
      <c r="G64" s="14"/>
      <c r="H64" s="14"/>
      <c r="I64" s="43"/>
      <c r="J64" s="44">
        <f>SUM($J$65)</f>
        <v>0</v>
      </c>
      <c r="K64" s="12"/>
      <c r="L64" s="12"/>
    </row>
    <row r="65" spans="1:12" ht="23.1" customHeight="1" outlineLevel="4" x14ac:dyDescent="0.2">
      <c r="A65" s="16"/>
      <c r="B65" s="57" t="s">
        <v>79</v>
      </c>
      <c r="C65" s="15"/>
      <c r="D65" s="15"/>
      <c r="E65" s="16" t="s">
        <v>24</v>
      </c>
      <c r="F65" s="17"/>
      <c r="G65" s="18">
        <v>41.88</v>
      </c>
      <c r="H65" s="18">
        <f>SUM($G$65:$G$65)</f>
        <v>41.88</v>
      </c>
      <c r="I65" s="22">
        <f t="array" ref="I65">INDEX(Р[Цена за ед., руб],MATCH(1,IF(($B65=Р[Наименование])*($K65=Р[Примечание]),{1},($B65=Р[Наименование])*($K65=Р[Примечание])),0))</f>
        <v>0</v>
      </c>
      <c r="J65" s="22">
        <f>ROUND($H$65*$I$65,2)</f>
        <v>0</v>
      </c>
      <c r="K65" s="15" t="s">
        <v>78</v>
      </c>
      <c r="L65" s="15"/>
    </row>
    <row r="66" spans="1:12" ht="11.1" customHeight="1" outlineLevel="4" x14ac:dyDescent="0.2">
      <c r="A66" s="56"/>
      <c r="B66" s="55" t="s">
        <v>26</v>
      </c>
      <c r="C66" s="14"/>
      <c r="D66" s="14"/>
      <c r="E66" s="14"/>
      <c r="F66" s="14"/>
      <c r="G66" s="14"/>
      <c r="H66" s="14"/>
      <c r="I66" s="43"/>
      <c r="J66" s="44">
        <f>SUM($J$67:$J$68)</f>
        <v>0</v>
      </c>
      <c r="K66" s="12"/>
      <c r="L66" s="12"/>
    </row>
    <row r="67" spans="1:12" ht="47.1" customHeight="1" outlineLevel="4" x14ac:dyDescent="0.2">
      <c r="A67" s="16" t="s">
        <v>27</v>
      </c>
      <c r="B67" s="57" t="s">
        <v>153</v>
      </c>
      <c r="C67" s="15"/>
      <c r="D67" s="15" t="s">
        <v>80</v>
      </c>
      <c r="E67" s="16" t="s">
        <v>39</v>
      </c>
      <c r="F67" s="19">
        <v>7</v>
      </c>
      <c r="G67" s="20">
        <v>295</v>
      </c>
      <c r="H67" s="20">
        <f>SUM($G$67:$G$67)</f>
        <v>295</v>
      </c>
      <c r="I67" s="90">
        <f>VLOOKUP(B67,Материалы!$B$2:$J$34,7,0)</f>
        <v>0</v>
      </c>
      <c r="J67" s="22">
        <f>ROUND($H$67*$I$67,2)</f>
        <v>0</v>
      </c>
      <c r="K67" s="15"/>
      <c r="L67" s="15" t="s">
        <v>132</v>
      </c>
    </row>
    <row r="68" spans="1:12" ht="11.1" customHeight="1" outlineLevel="4" x14ac:dyDescent="0.2">
      <c r="A68" s="16" t="s">
        <v>36</v>
      </c>
      <c r="B68" s="57" t="s">
        <v>154</v>
      </c>
      <c r="C68" s="15"/>
      <c r="D68" s="15" t="s">
        <v>81</v>
      </c>
      <c r="E68" s="16" t="s">
        <v>43</v>
      </c>
      <c r="F68" s="19">
        <v>1.07</v>
      </c>
      <c r="G68" s="18">
        <v>6.72</v>
      </c>
      <c r="H68" s="18">
        <f>SUM($G$68:$G$68)</f>
        <v>6.72</v>
      </c>
      <c r="I68" s="90">
        <f>VLOOKUP(B68,Материалы!$B$2:$J$34,7,0)</f>
        <v>0</v>
      </c>
      <c r="J68" s="22">
        <f>ROUND($H$68*$I$68,2)</f>
        <v>0</v>
      </c>
      <c r="K68" s="15"/>
      <c r="L68" s="15" t="s">
        <v>132</v>
      </c>
    </row>
    <row r="69" spans="1:12" ht="11.1" customHeight="1" outlineLevel="4" x14ac:dyDescent="0.2">
      <c r="A69" s="56"/>
      <c r="B69" s="55" t="s">
        <v>22</v>
      </c>
      <c r="C69" s="14"/>
      <c r="D69" s="14"/>
      <c r="E69" s="14"/>
      <c r="F69" s="14"/>
      <c r="G69" s="14"/>
      <c r="H69" s="14"/>
      <c r="I69" s="43"/>
      <c r="J69" s="44">
        <f>SUM($J$70)</f>
        <v>0</v>
      </c>
      <c r="K69" s="12"/>
      <c r="L69" s="12"/>
    </row>
    <row r="70" spans="1:12" ht="23.1" customHeight="1" outlineLevel="4" x14ac:dyDescent="0.2">
      <c r="A70" s="16"/>
      <c r="B70" s="57" t="s">
        <v>23</v>
      </c>
      <c r="C70" s="15"/>
      <c r="D70" s="15"/>
      <c r="E70" s="16" t="s">
        <v>24</v>
      </c>
      <c r="F70" s="17"/>
      <c r="G70" s="18">
        <v>622.78</v>
      </c>
      <c r="H70" s="18">
        <f>SUM($G$70:$G$70)</f>
        <v>622.78</v>
      </c>
      <c r="I70" s="22">
        <f t="array" ref="I70">INDEX(Р[Цена за ед., руб],MATCH(1,IF(($B70=Р[Наименование])*($K70=Р[Примечание]),{1},($B70=Р[Наименование])*($K70=Р[Примечание])),0))</f>
        <v>0</v>
      </c>
      <c r="J70" s="22">
        <f>ROUND($H$70*$I$70,2)</f>
        <v>0</v>
      </c>
      <c r="K70" s="15" t="s">
        <v>25</v>
      </c>
      <c r="L70" s="15"/>
    </row>
    <row r="71" spans="1:12" ht="11.1" customHeight="1" outlineLevel="4" x14ac:dyDescent="0.2">
      <c r="A71" s="56"/>
      <c r="B71" s="55" t="s">
        <v>26</v>
      </c>
      <c r="C71" s="14"/>
      <c r="D71" s="14"/>
      <c r="E71" s="14"/>
      <c r="F71" s="14"/>
      <c r="G71" s="14"/>
      <c r="H71" s="14"/>
      <c r="I71" s="43"/>
      <c r="J71" s="44">
        <f>SUM($J$72)</f>
        <v>0</v>
      </c>
      <c r="K71" s="12"/>
      <c r="L71" s="12"/>
    </row>
    <row r="72" spans="1:12" ht="23.1" customHeight="1" outlineLevel="4" x14ac:dyDescent="0.2">
      <c r="A72" s="16" t="s">
        <v>27</v>
      </c>
      <c r="B72" s="57" t="s">
        <v>139</v>
      </c>
      <c r="C72" s="15" t="s">
        <v>28</v>
      </c>
      <c r="D72" s="15" t="s">
        <v>29</v>
      </c>
      <c r="E72" s="16" t="s">
        <v>30</v>
      </c>
      <c r="F72" s="19">
        <v>0.3</v>
      </c>
      <c r="G72" s="18">
        <v>186.84</v>
      </c>
      <c r="H72" s="18">
        <f>SUM($G$72:$G$72)</f>
        <v>186.84</v>
      </c>
      <c r="I72" s="90">
        <f>VLOOKUP(B72,Материалы!$B$2:$J$34,7,0)</f>
        <v>0</v>
      </c>
      <c r="J72" s="22">
        <f>ROUND($H$72*$I$72,2)</f>
        <v>0</v>
      </c>
      <c r="K72" s="15" t="s">
        <v>31</v>
      </c>
      <c r="L72" s="15" t="s">
        <v>132</v>
      </c>
    </row>
    <row r="73" spans="1:12" ht="11.1" customHeight="1" outlineLevel="4" x14ac:dyDescent="0.2">
      <c r="A73" s="56"/>
      <c r="B73" s="55" t="s">
        <v>22</v>
      </c>
      <c r="C73" s="14"/>
      <c r="D73" s="14"/>
      <c r="E73" s="14"/>
      <c r="F73" s="14"/>
      <c r="G73" s="14"/>
      <c r="H73" s="14"/>
      <c r="I73" s="43"/>
      <c r="J73" s="44">
        <f>SUM($J$74)</f>
        <v>0</v>
      </c>
      <c r="K73" s="12"/>
      <c r="L73" s="12"/>
    </row>
    <row r="74" spans="1:12" ht="23.1" customHeight="1" outlineLevel="4" x14ac:dyDescent="0.2">
      <c r="A74" s="16"/>
      <c r="B74" s="57" t="s">
        <v>82</v>
      </c>
      <c r="C74" s="15"/>
      <c r="D74" s="15"/>
      <c r="E74" s="16" t="s">
        <v>24</v>
      </c>
      <c r="F74" s="17"/>
      <c r="G74" s="18">
        <v>411.58</v>
      </c>
      <c r="H74" s="18">
        <f>SUM($G$74:$G$74)</f>
        <v>411.58</v>
      </c>
      <c r="I74" s="22">
        <f t="array" ref="I74">INDEX(Р[Цена за ед., руб],MATCH(1,IF(($B74=Р[Наименование])*($K74=Р[Примечание]),{1},($B74=Р[Наименование])*($K74=Р[Примечание])),0))</f>
        <v>0</v>
      </c>
      <c r="J74" s="22">
        <f>ROUND($H$74*$I$74,2)</f>
        <v>0</v>
      </c>
      <c r="K74" s="15" t="s">
        <v>83</v>
      </c>
      <c r="L74" s="15"/>
    </row>
    <row r="75" spans="1:12" ht="11.1" customHeight="1" outlineLevel="4" x14ac:dyDescent="0.2">
      <c r="A75" s="56"/>
      <c r="B75" s="55" t="s">
        <v>26</v>
      </c>
      <c r="C75" s="14"/>
      <c r="D75" s="14"/>
      <c r="E75" s="14"/>
      <c r="F75" s="14"/>
      <c r="G75" s="14"/>
      <c r="H75" s="14"/>
      <c r="I75" s="43"/>
      <c r="J75" s="44">
        <f>SUM($J$76:$J$81)</f>
        <v>0</v>
      </c>
      <c r="K75" s="12"/>
      <c r="L75" s="12"/>
    </row>
    <row r="76" spans="1:12" ht="35.1" customHeight="1" outlineLevel="4" x14ac:dyDescent="0.2">
      <c r="A76" s="16" t="s">
        <v>27</v>
      </c>
      <c r="B76" s="57" t="s">
        <v>155</v>
      </c>
      <c r="C76" s="15"/>
      <c r="D76" s="15" t="s">
        <v>84</v>
      </c>
      <c r="E76" s="16" t="s">
        <v>39</v>
      </c>
      <c r="F76" s="17"/>
      <c r="G76" s="20">
        <v>120</v>
      </c>
      <c r="H76" s="20">
        <f>SUM($G$76:$G$76)</f>
        <v>120</v>
      </c>
      <c r="I76" s="90">
        <f>VLOOKUP(B76,Материалы!$B$2:$J$34,7,0)</f>
        <v>0</v>
      </c>
      <c r="J76" s="22">
        <f>ROUND($H$76*$I$76,2)</f>
        <v>0</v>
      </c>
      <c r="K76" s="15"/>
      <c r="L76" s="15" t="s">
        <v>132</v>
      </c>
    </row>
    <row r="77" spans="1:12" ht="35.1" customHeight="1" outlineLevel="4" x14ac:dyDescent="0.2">
      <c r="A77" s="16" t="s">
        <v>36</v>
      </c>
      <c r="B77" s="57" t="s">
        <v>156</v>
      </c>
      <c r="C77" s="15"/>
      <c r="D77" s="15" t="s">
        <v>85</v>
      </c>
      <c r="E77" s="16" t="s">
        <v>39</v>
      </c>
      <c r="F77" s="17"/>
      <c r="G77" s="23">
        <v>2500</v>
      </c>
      <c r="H77" s="23">
        <f>SUM($G$77:$G$77)</f>
        <v>2500</v>
      </c>
      <c r="I77" s="90">
        <f>VLOOKUP(B77,Материалы!$B$2:$J$34,7,0)</f>
        <v>0</v>
      </c>
      <c r="J77" s="22">
        <f>ROUND($H$77*$I$77,2)</f>
        <v>0</v>
      </c>
      <c r="K77" s="15"/>
      <c r="L77" s="15" t="s">
        <v>132</v>
      </c>
    </row>
    <row r="78" spans="1:12" s="59" customFormat="1" ht="11.1" customHeight="1" outlineLevel="4" x14ac:dyDescent="0.2">
      <c r="A78" s="47" t="s">
        <v>50</v>
      </c>
      <c r="B78" s="58" t="s">
        <v>145</v>
      </c>
      <c r="C78" s="46"/>
      <c r="D78" s="46" t="s">
        <v>53</v>
      </c>
      <c r="E78" s="47" t="s">
        <v>24</v>
      </c>
      <c r="F78" s="48">
        <v>2.0499999999999998</v>
      </c>
      <c r="G78" s="50">
        <f>ROUND(G74*F78,2)</f>
        <v>843.74</v>
      </c>
      <c r="H78" s="50">
        <f>SUM($G$78:$G$78)</f>
        <v>843.74</v>
      </c>
      <c r="I78" s="90">
        <f>VLOOKUP(B78,Материалы!$B$2:$J$34,7,0)</f>
        <v>0</v>
      </c>
      <c r="J78" s="49">
        <f>ROUND($H$78*$I$78,2)</f>
        <v>0</v>
      </c>
      <c r="K78" s="46" t="s">
        <v>54</v>
      </c>
      <c r="L78" s="15" t="s">
        <v>132</v>
      </c>
    </row>
    <row r="79" spans="1:12" ht="35.1" customHeight="1" outlineLevel="4" x14ac:dyDescent="0.2">
      <c r="A79" s="16" t="s">
        <v>86</v>
      </c>
      <c r="B79" s="57" t="s">
        <v>157</v>
      </c>
      <c r="C79" s="15"/>
      <c r="D79" s="15" t="s">
        <v>87</v>
      </c>
      <c r="E79" s="16" t="s">
        <v>43</v>
      </c>
      <c r="F79" s="19">
        <v>1.05</v>
      </c>
      <c r="G79" s="18">
        <v>3.93</v>
      </c>
      <c r="H79" s="18">
        <f>SUM($G$79:$G$79)</f>
        <v>3.93</v>
      </c>
      <c r="I79" s="90">
        <f>VLOOKUP(B79,Материалы!$B$2:$J$34,7,0)</f>
        <v>0</v>
      </c>
      <c r="J79" s="22">
        <f>ROUND($H$79*$I$79,2)</f>
        <v>0</v>
      </c>
      <c r="K79" s="15"/>
      <c r="L79" s="15" t="s">
        <v>132</v>
      </c>
    </row>
    <row r="80" spans="1:12" ht="35.1" customHeight="1" outlineLevel="4" x14ac:dyDescent="0.2">
      <c r="A80" s="16" t="s">
        <v>88</v>
      </c>
      <c r="B80" s="57" t="s">
        <v>158</v>
      </c>
      <c r="C80" s="15"/>
      <c r="D80" s="15" t="s">
        <v>89</v>
      </c>
      <c r="E80" s="16" t="s">
        <v>43</v>
      </c>
      <c r="F80" s="19">
        <v>1.05</v>
      </c>
      <c r="G80" s="18">
        <v>0.27</v>
      </c>
      <c r="H80" s="18">
        <f>SUM($G$80:$G$80)</f>
        <v>0.27</v>
      </c>
      <c r="I80" s="90">
        <f>VLOOKUP(B80,Материалы!$B$2:$J$34,7,0)</f>
        <v>0</v>
      </c>
      <c r="J80" s="22">
        <f>ROUND($H$80*$I$80,2)</f>
        <v>0</v>
      </c>
      <c r="K80" s="15"/>
      <c r="L80" s="15" t="s">
        <v>132</v>
      </c>
    </row>
    <row r="81" spans="1:12" ht="11.1" customHeight="1" outlineLevel="4" x14ac:dyDescent="0.2">
      <c r="A81" s="16" t="s">
        <v>90</v>
      </c>
      <c r="B81" s="57" t="s">
        <v>147</v>
      </c>
      <c r="C81" s="15"/>
      <c r="D81" s="15" t="s">
        <v>56</v>
      </c>
      <c r="E81" s="16" t="s">
        <v>39</v>
      </c>
      <c r="F81" s="17"/>
      <c r="G81" s="23">
        <v>2921</v>
      </c>
      <c r="H81" s="23">
        <f>SUM($G$81:$G$81)</f>
        <v>2921</v>
      </c>
      <c r="I81" s="90">
        <f>VLOOKUP(B81,Материалы!$B$2:$J$34,7,0)</f>
        <v>0</v>
      </c>
      <c r="J81" s="22">
        <f>ROUND($H$81*$I$81,2)</f>
        <v>0</v>
      </c>
      <c r="K81" s="15"/>
      <c r="L81" s="15" t="s">
        <v>132</v>
      </c>
    </row>
    <row r="82" spans="1:12" ht="11.1" customHeight="1" outlineLevel="4" x14ac:dyDescent="0.2">
      <c r="A82" s="56"/>
      <c r="B82" s="55" t="s">
        <v>22</v>
      </c>
      <c r="C82" s="14"/>
      <c r="D82" s="14"/>
      <c r="E82" s="14"/>
      <c r="F82" s="14"/>
      <c r="G82" s="14"/>
      <c r="H82" s="14"/>
      <c r="I82" s="43"/>
      <c r="J82" s="44">
        <f>SUM($J$83)</f>
        <v>0</v>
      </c>
      <c r="K82" s="12"/>
      <c r="L82" s="12"/>
    </row>
    <row r="83" spans="1:12" ht="23.1" customHeight="1" outlineLevel="4" x14ac:dyDescent="0.2">
      <c r="A83" s="16"/>
      <c r="B83" s="57" t="s">
        <v>91</v>
      </c>
      <c r="C83" s="15"/>
      <c r="D83" s="15"/>
      <c r="E83" s="16" t="s">
        <v>24</v>
      </c>
      <c r="F83" s="17"/>
      <c r="G83" s="18">
        <v>99.85</v>
      </c>
      <c r="H83" s="18">
        <f>SUM($G$83:$G$83)</f>
        <v>99.85</v>
      </c>
      <c r="I83" s="22">
        <f t="array" ref="I83">INDEX(Р[Цена за ед., руб],MATCH(1,IF(($B83=Р[Наименование])*($K83=Р[Примечание]),{1},($B83=Р[Наименование])*($K83=Р[Примечание])),0))</f>
        <v>0</v>
      </c>
      <c r="J83" s="22">
        <f>ROUND($H$83*$I$83,2)</f>
        <v>0</v>
      </c>
      <c r="K83" s="15" t="s">
        <v>92</v>
      </c>
      <c r="L83" s="15"/>
    </row>
    <row r="84" spans="1:12" ht="11.1" customHeight="1" outlineLevel="4" x14ac:dyDescent="0.2">
      <c r="A84" s="56"/>
      <c r="B84" s="55" t="s">
        <v>26</v>
      </c>
      <c r="C84" s="14"/>
      <c r="D84" s="14"/>
      <c r="E84" s="14"/>
      <c r="F84" s="14"/>
      <c r="G84" s="14"/>
      <c r="H84" s="14"/>
      <c r="I84" s="43"/>
      <c r="J84" s="44">
        <f>SUM($J$85:$J$86)</f>
        <v>0</v>
      </c>
      <c r="K84" s="12"/>
      <c r="L84" s="12"/>
    </row>
    <row r="85" spans="1:12" ht="11.1" customHeight="1" outlineLevel="4" x14ac:dyDescent="0.2">
      <c r="A85" s="16" t="s">
        <v>27</v>
      </c>
      <c r="B85" s="57" t="s">
        <v>144</v>
      </c>
      <c r="C85" s="15"/>
      <c r="D85" s="15" t="s">
        <v>49</v>
      </c>
      <c r="E85" s="16" t="s">
        <v>24</v>
      </c>
      <c r="F85" s="19">
        <v>1.1000000000000001</v>
      </c>
      <c r="G85" s="20">
        <v>110</v>
      </c>
      <c r="H85" s="20">
        <f>SUM($G$85:$G$85)</f>
        <v>110</v>
      </c>
      <c r="I85" s="90">
        <f>VLOOKUP(B85,Материалы!$B$2:$J$34,7,0)</f>
        <v>0</v>
      </c>
      <c r="J85" s="22">
        <f>ROUND($H$85*$I$85,2)</f>
        <v>0</v>
      </c>
      <c r="K85" s="15"/>
      <c r="L85" s="15" t="s">
        <v>132</v>
      </c>
    </row>
    <row r="86" spans="1:12" ht="11.1" customHeight="1" outlineLevel="4" x14ac:dyDescent="0.2">
      <c r="A86" s="16" t="s">
        <v>36</v>
      </c>
      <c r="B86" s="57" t="s">
        <v>51</v>
      </c>
      <c r="C86" s="15"/>
      <c r="D86" s="15"/>
      <c r="E86" s="16" t="s">
        <v>30</v>
      </c>
      <c r="F86" s="19">
        <v>0.47</v>
      </c>
      <c r="G86" s="18">
        <v>46.93</v>
      </c>
      <c r="H86" s="18">
        <f>SUM($G$86:$G$86)</f>
        <v>46.93</v>
      </c>
      <c r="I86" s="90">
        <f>VLOOKUP(B86,Материалы!$B$2:$J$34,7,0)</f>
        <v>0</v>
      </c>
      <c r="J86" s="22">
        <f>ROUND($H$86*$I$86,2)</f>
        <v>0</v>
      </c>
      <c r="K86" s="15"/>
      <c r="L86" s="15" t="s">
        <v>132</v>
      </c>
    </row>
    <row r="87" spans="1:12" ht="11.1" customHeight="1" outlineLevel="4" x14ac:dyDescent="0.2">
      <c r="A87" s="56"/>
      <c r="B87" s="55" t="s">
        <v>22</v>
      </c>
      <c r="C87" s="14"/>
      <c r="D87" s="14"/>
      <c r="E87" s="14"/>
      <c r="F87" s="14"/>
      <c r="G87" s="14"/>
      <c r="H87" s="14"/>
      <c r="I87" s="43"/>
      <c r="J87" s="44">
        <f>SUM($J$88)</f>
        <v>0</v>
      </c>
      <c r="K87" s="12"/>
      <c r="L87" s="12"/>
    </row>
    <row r="88" spans="1:12" ht="23.1" customHeight="1" outlineLevel="4" x14ac:dyDescent="0.2">
      <c r="A88" s="16"/>
      <c r="B88" s="57" t="s">
        <v>93</v>
      </c>
      <c r="C88" s="15"/>
      <c r="D88" s="15"/>
      <c r="E88" s="16" t="s">
        <v>24</v>
      </c>
      <c r="F88" s="17"/>
      <c r="G88" s="18">
        <v>39.74</v>
      </c>
      <c r="H88" s="18">
        <f>SUM($G$88:$G$88)</f>
        <v>39.74</v>
      </c>
      <c r="I88" s="22">
        <f t="array" ref="I88">INDEX(Р[Цена за ед., руб],MATCH(1,IF(($B88=Р[Наименование])*($K88=Р[Примечание]),{1},($B88=Р[Наименование])*($K88=Р[Примечание])),0))</f>
        <v>0</v>
      </c>
      <c r="J88" s="22">
        <f>ROUND($H$88*$I$88,2)</f>
        <v>0</v>
      </c>
      <c r="K88" s="15"/>
      <c r="L88" s="15"/>
    </row>
    <row r="89" spans="1:12" ht="11.1" customHeight="1" outlineLevel="4" x14ac:dyDescent="0.2">
      <c r="A89" s="56"/>
      <c r="B89" s="55" t="s">
        <v>26</v>
      </c>
      <c r="C89" s="14"/>
      <c r="D89" s="14"/>
      <c r="E89" s="14"/>
      <c r="F89" s="14"/>
      <c r="G89" s="14"/>
      <c r="H89" s="14"/>
      <c r="I89" s="43"/>
      <c r="J89" s="44">
        <f>SUM($J$90:$J$92)</f>
        <v>0</v>
      </c>
      <c r="K89" s="12"/>
      <c r="L89" s="12"/>
    </row>
    <row r="90" spans="1:12" ht="11.1" customHeight="1" outlineLevel="4" x14ac:dyDescent="0.2">
      <c r="A90" s="16" t="s">
        <v>27</v>
      </c>
      <c r="B90" s="57" t="s">
        <v>145</v>
      </c>
      <c r="C90" s="15"/>
      <c r="D90" s="15" t="s">
        <v>53</v>
      </c>
      <c r="E90" s="16" t="s">
        <v>24</v>
      </c>
      <c r="F90" s="19">
        <v>1.05</v>
      </c>
      <c r="G90" s="18">
        <v>41.72</v>
      </c>
      <c r="H90" s="18">
        <f>SUM($G$90:$G$90)</f>
        <v>41.72</v>
      </c>
      <c r="I90" s="90">
        <f>VLOOKUP(B90,Материалы!$B$2:$J$34,7,0)</f>
        <v>0</v>
      </c>
      <c r="J90" s="22">
        <f>ROUND($H$90*$I$90,2)</f>
        <v>0</v>
      </c>
      <c r="K90" s="15"/>
      <c r="L90" s="15" t="s">
        <v>132</v>
      </c>
    </row>
    <row r="91" spans="1:12" ht="11.1" customHeight="1" outlineLevel="4" x14ac:dyDescent="0.2">
      <c r="A91" s="16" t="s">
        <v>36</v>
      </c>
      <c r="B91" s="57" t="s">
        <v>147</v>
      </c>
      <c r="C91" s="15"/>
      <c r="D91" s="15" t="s">
        <v>56</v>
      </c>
      <c r="E91" s="16" t="s">
        <v>39</v>
      </c>
      <c r="F91" s="17"/>
      <c r="G91" s="20">
        <v>545</v>
      </c>
      <c r="H91" s="20">
        <f>SUM($G$91:$G$91)</f>
        <v>545</v>
      </c>
      <c r="I91" s="90">
        <f>VLOOKUP(B91,Материалы!$B$2:$J$34,7,0)</f>
        <v>0</v>
      </c>
      <c r="J91" s="22">
        <f>ROUND($H$91*$I$91,2)</f>
        <v>0</v>
      </c>
      <c r="K91" s="15" t="s">
        <v>94</v>
      </c>
      <c r="L91" s="15" t="s">
        <v>132</v>
      </c>
    </row>
    <row r="92" spans="1:12" ht="23.1" customHeight="1" outlineLevel="4" x14ac:dyDescent="0.2">
      <c r="A92" s="16" t="s">
        <v>50</v>
      </c>
      <c r="B92" s="57" t="s">
        <v>152</v>
      </c>
      <c r="C92" s="15"/>
      <c r="D92" s="15" t="s">
        <v>76</v>
      </c>
      <c r="E92" s="16" t="s">
        <v>39</v>
      </c>
      <c r="F92" s="17"/>
      <c r="G92" s="20">
        <v>386</v>
      </c>
      <c r="H92" s="20">
        <f>SUM($G$92:$G$92)</f>
        <v>386</v>
      </c>
      <c r="I92" s="90">
        <f>VLOOKUP(B92,Материалы!$B$2:$J$34,7,0)</f>
        <v>0</v>
      </c>
      <c r="J92" s="22">
        <f>ROUND($H$92*$I$92,2)</f>
        <v>0</v>
      </c>
      <c r="K92" s="15" t="s">
        <v>95</v>
      </c>
      <c r="L92" s="15" t="s">
        <v>132</v>
      </c>
    </row>
    <row r="93" spans="1:12" ht="11.1" customHeight="1" outlineLevel="4" x14ac:dyDescent="0.2">
      <c r="A93" s="56"/>
      <c r="B93" s="55" t="s">
        <v>22</v>
      </c>
      <c r="C93" s="14"/>
      <c r="D93" s="14"/>
      <c r="E93" s="14"/>
      <c r="F93" s="14"/>
      <c r="G93" s="14"/>
      <c r="H93" s="14"/>
      <c r="I93" s="43"/>
      <c r="J93" s="44">
        <f>SUM($J$94)</f>
        <v>0</v>
      </c>
      <c r="K93" s="12"/>
      <c r="L93" s="12"/>
    </row>
    <row r="94" spans="1:12" ht="35.1" customHeight="1" outlineLevel="4" x14ac:dyDescent="0.2">
      <c r="A94" s="16"/>
      <c r="B94" s="57" t="s">
        <v>96</v>
      </c>
      <c r="C94" s="15"/>
      <c r="D94" s="15"/>
      <c r="E94" s="16" t="s">
        <v>24</v>
      </c>
      <c r="F94" s="17"/>
      <c r="G94" s="18">
        <v>622.78</v>
      </c>
      <c r="H94" s="18">
        <f>SUM($G$94:$G$94)</f>
        <v>622.78</v>
      </c>
      <c r="I94" s="22">
        <f t="array" ref="I94">INDEX(Р[Цена за ед., руб],MATCH(1,IF(($B94=Р[Наименование])*($K94=Р[Примечание]),{1},($B94=Р[Наименование])*($K94=Р[Примечание])),0))</f>
        <v>0</v>
      </c>
      <c r="J94" s="22">
        <f>ROUND($H$94*$I$94,2)</f>
        <v>0</v>
      </c>
      <c r="K94" s="15"/>
      <c r="L94" s="15"/>
    </row>
    <row r="95" spans="1:12" ht="11.1" customHeight="1" outlineLevel="4" x14ac:dyDescent="0.2">
      <c r="A95" s="56"/>
      <c r="B95" s="55" t="s">
        <v>26</v>
      </c>
      <c r="C95" s="14"/>
      <c r="D95" s="14"/>
      <c r="E95" s="14"/>
      <c r="F95" s="14"/>
      <c r="G95" s="14"/>
      <c r="H95" s="14"/>
      <c r="I95" s="43"/>
      <c r="J95" s="44">
        <f>SUM($J$96:$J$98)</f>
        <v>0</v>
      </c>
      <c r="K95" s="12"/>
      <c r="L95" s="12"/>
    </row>
    <row r="96" spans="1:12" ht="11.1" customHeight="1" outlineLevel="4" x14ac:dyDescent="0.2">
      <c r="A96" s="16" t="s">
        <v>27</v>
      </c>
      <c r="B96" s="57" t="s">
        <v>143</v>
      </c>
      <c r="C96" s="15"/>
      <c r="D96" s="15" t="s">
        <v>48</v>
      </c>
      <c r="E96" s="16" t="s">
        <v>24</v>
      </c>
      <c r="F96" s="19">
        <v>1.1399999999999999</v>
      </c>
      <c r="G96" s="18">
        <v>709.97</v>
      </c>
      <c r="H96" s="18">
        <f>SUM($G$96:$G$96)</f>
        <v>709.97</v>
      </c>
      <c r="I96" s="90">
        <f>VLOOKUP(B96,Материалы!$B$2:$J$34,7,0)</f>
        <v>0</v>
      </c>
      <c r="J96" s="22">
        <f>ROUND($H$96*$I$96,2)</f>
        <v>0</v>
      </c>
      <c r="K96" s="15"/>
      <c r="L96" s="15" t="s">
        <v>132</v>
      </c>
    </row>
    <row r="97" spans="1:12" ht="11.1" customHeight="1" outlineLevel="4" x14ac:dyDescent="0.2">
      <c r="A97" s="16" t="s">
        <v>36</v>
      </c>
      <c r="B97" s="57" t="s">
        <v>144</v>
      </c>
      <c r="C97" s="15"/>
      <c r="D97" s="15" t="s">
        <v>49</v>
      </c>
      <c r="E97" s="16" t="s">
        <v>24</v>
      </c>
      <c r="F97" s="19">
        <v>1.1599999999999999</v>
      </c>
      <c r="G97" s="18">
        <v>664.37</v>
      </c>
      <c r="H97" s="18">
        <f>SUM($G$97:$G$97)</f>
        <v>664.37</v>
      </c>
      <c r="I97" s="90">
        <f>VLOOKUP(B97,Материалы!$B$2:$J$34,7,0)</f>
        <v>0</v>
      </c>
      <c r="J97" s="22">
        <f>ROUND($H$97*$I$97,2)</f>
        <v>0</v>
      </c>
      <c r="K97" s="15"/>
      <c r="L97" s="15" t="s">
        <v>132</v>
      </c>
    </row>
    <row r="98" spans="1:12" ht="11.1" customHeight="1" outlineLevel="4" x14ac:dyDescent="0.2">
      <c r="A98" s="16" t="s">
        <v>50</v>
      </c>
      <c r="B98" s="57" t="s">
        <v>51</v>
      </c>
      <c r="C98" s="15"/>
      <c r="D98" s="15"/>
      <c r="E98" s="16" t="s">
        <v>30</v>
      </c>
      <c r="F98" s="19">
        <v>0.94</v>
      </c>
      <c r="G98" s="21">
        <v>760.2</v>
      </c>
      <c r="H98" s="21">
        <f>SUM($G$98:$G$98)</f>
        <v>760.2</v>
      </c>
      <c r="I98" s="90">
        <f>VLOOKUP(B98,Материалы!$B$2:$J$34,7,0)</f>
        <v>0</v>
      </c>
      <c r="J98" s="22">
        <f>ROUND($H$98*$I$98,2)</f>
        <v>0</v>
      </c>
      <c r="K98" s="15"/>
      <c r="L98" s="15" t="s">
        <v>132</v>
      </c>
    </row>
    <row r="99" spans="1:12" ht="11.1" customHeight="1" outlineLevel="4" x14ac:dyDescent="0.2">
      <c r="A99" s="56"/>
      <c r="B99" s="55" t="s">
        <v>22</v>
      </c>
      <c r="C99" s="14"/>
      <c r="D99" s="14"/>
      <c r="E99" s="14"/>
      <c r="F99" s="14"/>
      <c r="G99" s="14"/>
      <c r="H99" s="14"/>
      <c r="I99" s="43"/>
      <c r="J99" s="44">
        <f>SUM($J$100)</f>
        <v>0</v>
      </c>
      <c r="K99" s="12"/>
      <c r="L99" s="12"/>
    </row>
    <row r="100" spans="1:12" ht="35.1" customHeight="1" outlineLevel="4" x14ac:dyDescent="0.2">
      <c r="A100" s="16"/>
      <c r="B100" s="57" t="s">
        <v>97</v>
      </c>
      <c r="C100" s="15"/>
      <c r="D100" s="15"/>
      <c r="E100" s="16" t="s">
        <v>24</v>
      </c>
      <c r="F100" s="17"/>
      <c r="G100" s="20">
        <v>128</v>
      </c>
      <c r="H100" s="20">
        <f>SUM($G$100:$G$100)</f>
        <v>128</v>
      </c>
      <c r="I100" s="22">
        <f t="array" ref="I100">INDEX(Р[Цена за ед., руб],MATCH(1,IF(($B100=Р[Наименование])*($K100=Р[Примечание]),{1},($B100=Р[Наименование])*($K100=Р[Примечание])),0))</f>
        <v>0</v>
      </c>
      <c r="J100" s="22">
        <f>ROUND($H$100*$I$100,2)</f>
        <v>0</v>
      </c>
      <c r="K100" s="15" t="s">
        <v>98</v>
      </c>
      <c r="L100" s="15"/>
    </row>
    <row r="101" spans="1:12" ht="11.1" customHeight="1" outlineLevel="4" x14ac:dyDescent="0.2">
      <c r="A101" s="56"/>
      <c r="B101" s="55" t="s">
        <v>26</v>
      </c>
      <c r="C101" s="14"/>
      <c r="D101" s="14"/>
      <c r="E101" s="14"/>
      <c r="F101" s="14"/>
      <c r="G101" s="14"/>
      <c r="H101" s="14"/>
      <c r="I101" s="43"/>
      <c r="J101" s="44">
        <f>SUM($J$102:$J$103)</f>
        <v>0</v>
      </c>
      <c r="K101" s="12"/>
      <c r="L101" s="12"/>
    </row>
    <row r="102" spans="1:12" ht="23.1" customHeight="1" outlineLevel="4" x14ac:dyDescent="0.2">
      <c r="A102" s="16" t="s">
        <v>27</v>
      </c>
      <c r="B102" s="57" t="s">
        <v>33</v>
      </c>
      <c r="C102" s="15"/>
      <c r="D102" s="15" t="s">
        <v>34</v>
      </c>
      <c r="E102" s="16" t="s">
        <v>24</v>
      </c>
      <c r="F102" s="19">
        <v>1.1000000000000001</v>
      </c>
      <c r="G102" s="20">
        <v>145</v>
      </c>
      <c r="H102" s="20">
        <f>SUM($G$102:$G$102)</f>
        <v>145</v>
      </c>
      <c r="I102" s="90">
        <f>VLOOKUP(B102,Материалы!$B$2:$J$34,7,0)</f>
        <v>0</v>
      </c>
      <c r="J102" s="22">
        <f>ROUND($H$102*$I$102,2)</f>
        <v>0</v>
      </c>
      <c r="K102" s="15" t="s">
        <v>35</v>
      </c>
      <c r="L102" s="15" t="s">
        <v>132</v>
      </c>
    </row>
    <row r="103" spans="1:12" ht="35.1" customHeight="1" outlineLevel="4" x14ac:dyDescent="0.2">
      <c r="A103" s="16" t="s">
        <v>36</v>
      </c>
      <c r="B103" s="57" t="s">
        <v>140</v>
      </c>
      <c r="C103" s="15" t="s">
        <v>37</v>
      </c>
      <c r="D103" s="15" t="s">
        <v>38</v>
      </c>
      <c r="E103" s="16" t="s">
        <v>39</v>
      </c>
      <c r="F103" s="17"/>
      <c r="G103" s="20">
        <v>4</v>
      </c>
      <c r="H103" s="20">
        <f>SUM($G$103:$G$103)</f>
        <v>4</v>
      </c>
      <c r="I103" s="90">
        <f>VLOOKUP(B103,Материалы!$B$2:$J$34,7,0)</f>
        <v>0</v>
      </c>
      <c r="J103" s="22">
        <f>ROUND($H$103*$I$103,2)</f>
        <v>0</v>
      </c>
      <c r="K103" s="15" t="s">
        <v>99</v>
      </c>
      <c r="L103" s="15" t="s">
        <v>132</v>
      </c>
    </row>
    <row r="104" spans="1:12" ht="11.1" customHeight="1" outlineLevel="4" x14ac:dyDescent="0.2">
      <c r="A104" s="56"/>
      <c r="B104" s="55" t="s">
        <v>22</v>
      </c>
      <c r="C104" s="14"/>
      <c r="D104" s="14"/>
      <c r="E104" s="14"/>
      <c r="F104" s="14"/>
      <c r="G104" s="14"/>
      <c r="H104" s="14"/>
      <c r="I104" s="43"/>
      <c r="J104" s="44">
        <f>SUM($J$105)</f>
        <v>0</v>
      </c>
      <c r="K104" s="12"/>
      <c r="L104" s="12"/>
    </row>
    <row r="105" spans="1:12" ht="23.1" customHeight="1" outlineLevel="4" x14ac:dyDescent="0.2">
      <c r="A105" s="16"/>
      <c r="B105" s="57" t="s">
        <v>100</v>
      </c>
      <c r="C105" s="15"/>
      <c r="D105" s="15"/>
      <c r="E105" s="16" t="s">
        <v>24</v>
      </c>
      <c r="F105" s="17"/>
      <c r="G105" s="21">
        <v>38.6</v>
      </c>
      <c r="H105" s="21">
        <f>SUM($G$105:$G$105)</f>
        <v>38.6</v>
      </c>
      <c r="I105" s="22">
        <f t="array" ref="I105">INDEX(Р[Цена за ед., руб],MATCH(1,IF(($B105=Р[Наименование])*($K105=Р[Примечание]),{1},($B105=Р[Наименование])*($K105=Р[Примечание])),0))</f>
        <v>0</v>
      </c>
      <c r="J105" s="22">
        <f>ROUND($H$105*$I$105,2)</f>
        <v>0</v>
      </c>
      <c r="K105" s="15"/>
      <c r="L105" s="15"/>
    </row>
    <row r="106" spans="1:12" ht="11.1" customHeight="1" outlineLevel="4" x14ac:dyDescent="0.2">
      <c r="A106" s="56"/>
      <c r="B106" s="55" t="s">
        <v>26</v>
      </c>
      <c r="C106" s="14"/>
      <c r="D106" s="14"/>
      <c r="E106" s="14"/>
      <c r="F106" s="14"/>
      <c r="G106" s="14"/>
      <c r="H106" s="14"/>
      <c r="I106" s="43"/>
      <c r="J106" s="44">
        <f>SUM($J$107)</f>
        <v>0</v>
      </c>
      <c r="K106" s="12"/>
      <c r="L106" s="12"/>
    </row>
    <row r="107" spans="1:12" ht="23.1" customHeight="1" outlineLevel="4" x14ac:dyDescent="0.2">
      <c r="A107" s="16" t="s">
        <v>27</v>
      </c>
      <c r="B107" s="57" t="s">
        <v>62</v>
      </c>
      <c r="C107" s="15"/>
      <c r="D107" s="15" t="s">
        <v>63</v>
      </c>
      <c r="E107" s="16" t="s">
        <v>43</v>
      </c>
      <c r="F107" s="19">
        <v>1.1000000000000001</v>
      </c>
      <c r="G107" s="21">
        <v>0.9</v>
      </c>
      <c r="H107" s="21">
        <f>SUM($G$107:$G$107)</f>
        <v>0.9</v>
      </c>
      <c r="I107" s="90">
        <f>VLOOKUP(B107,Материалы!$B$2:$J$34,7,0)</f>
        <v>0</v>
      </c>
      <c r="J107" s="22">
        <f>ROUND($H$107*$I$107,2)</f>
        <v>0</v>
      </c>
      <c r="K107" s="15" t="s">
        <v>101</v>
      </c>
      <c r="L107" s="15" t="s">
        <v>132</v>
      </c>
    </row>
    <row r="108" spans="1:12" ht="23.1" customHeight="1" outlineLevel="2" x14ac:dyDescent="0.2">
      <c r="A108" s="10" t="s">
        <v>102</v>
      </c>
      <c r="B108" s="55" t="s">
        <v>103</v>
      </c>
      <c r="C108" s="9"/>
      <c r="D108" s="9"/>
      <c r="E108" s="10"/>
      <c r="F108" s="11"/>
      <c r="G108" s="12"/>
      <c r="H108" s="12"/>
      <c r="I108" s="42"/>
      <c r="J108" s="42">
        <f>SUM($J$109)</f>
        <v>0</v>
      </c>
      <c r="K108" s="13"/>
      <c r="L108" s="13"/>
    </row>
    <row r="109" spans="1:12" ht="23.1" customHeight="1" outlineLevel="3" x14ac:dyDescent="0.2">
      <c r="A109" s="10" t="s">
        <v>104</v>
      </c>
      <c r="B109" s="55" t="s">
        <v>105</v>
      </c>
      <c r="C109" s="9"/>
      <c r="D109" s="9"/>
      <c r="E109" s="10"/>
      <c r="F109" s="11"/>
      <c r="G109" s="12"/>
      <c r="H109" s="12"/>
      <c r="I109" s="42"/>
      <c r="J109" s="42">
        <f>SUM($J$118,$J$116,$J$112,$J$110)</f>
        <v>0</v>
      </c>
      <c r="K109" s="13"/>
      <c r="L109" s="13"/>
    </row>
    <row r="110" spans="1:12" ht="11.1" customHeight="1" outlineLevel="4" x14ac:dyDescent="0.2">
      <c r="A110" s="56"/>
      <c r="B110" s="55" t="s">
        <v>22</v>
      </c>
      <c r="C110" s="14"/>
      <c r="D110" s="14"/>
      <c r="E110" s="14"/>
      <c r="F110" s="14"/>
      <c r="G110" s="14"/>
      <c r="H110" s="14"/>
      <c r="I110" s="43"/>
      <c r="J110" s="44">
        <f>SUM($J$111)</f>
        <v>0</v>
      </c>
      <c r="K110" s="12"/>
      <c r="L110" s="12"/>
    </row>
    <row r="111" spans="1:12" ht="11.1" customHeight="1" outlineLevel="4" x14ac:dyDescent="0.2">
      <c r="A111" s="16"/>
      <c r="B111" s="57" t="s">
        <v>106</v>
      </c>
      <c r="C111" s="15"/>
      <c r="D111" s="15"/>
      <c r="E111" s="16" t="s">
        <v>39</v>
      </c>
      <c r="F111" s="17"/>
      <c r="G111" s="20">
        <v>11</v>
      </c>
      <c r="H111" s="20">
        <f>SUM($G$111:$G$111)</f>
        <v>11</v>
      </c>
      <c r="I111" s="22">
        <f t="array" ref="I111">INDEX(Р[Цена за ед., руб],MATCH(1,IF(($B111=Р[Наименование])*($K111=Р[Примечание]),{1},($B111=Р[Наименование])*($K111=Р[Примечание])),0))</f>
        <v>0</v>
      </c>
      <c r="J111" s="22">
        <f>ROUND($H$111*$I$111,2)</f>
        <v>0</v>
      </c>
      <c r="K111" s="15"/>
      <c r="L111" s="15"/>
    </row>
    <row r="112" spans="1:12" ht="11.1" customHeight="1" outlineLevel="4" x14ac:dyDescent="0.2">
      <c r="A112" s="56"/>
      <c r="B112" s="55" t="s">
        <v>26</v>
      </c>
      <c r="C112" s="14"/>
      <c r="D112" s="14"/>
      <c r="E112" s="14"/>
      <c r="F112" s="14"/>
      <c r="G112" s="14"/>
      <c r="H112" s="14"/>
      <c r="I112" s="43"/>
      <c r="J112" s="44">
        <f>SUM($J$113:$J$115)</f>
        <v>0</v>
      </c>
      <c r="K112" s="12"/>
      <c r="L112" s="12"/>
    </row>
    <row r="113" spans="1:12" ht="11.1" customHeight="1" outlineLevel="4" x14ac:dyDescent="0.2">
      <c r="A113" s="16" t="s">
        <v>27</v>
      </c>
      <c r="B113" s="57" t="s">
        <v>143</v>
      </c>
      <c r="C113" s="15"/>
      <c r="D113" s="15" t="s">
        <v>48</v>
      </c>
      <c r="E113" s="16" t="s">
        <v>24</v>
      </c>
      <c r="F113" s="19">
        <v>1</v>
      </c>
      <c r="G113" s="20">
        <v>11</v>
      </c>
      <c r="H113" s="20">
        <f>SUM($G$113:$G$113)</f>
        <v>11</v>
      </c>
      <c r="I113" s="90">
        <f>VLOOKUP(B113,Материалы!$B$2:$J$34,7,0)</f>
        <v>0</v>
      </c>
      <c r="J113" s="22">
        <f>ROUND($H$113*$I$113,2)</f>
        <v>0</v>
      </c>
      <c r="K113" s="15"/>
      <c r="L113" s="15" t="s">
        <v>132</v>
      </c>
    </row>
    <row r="114" spans="1:12" ht="11.1" customHeight="1" outlineLevel="4" x14ac:dyDescent="0.2">
      <c r="A114" s="16" t="s">
        <v>36</v>
      </c>
      <c r="B114" s="57" t="s">
        <v>144</v>
      </c>
      <c r="C114" s="15"/>
      <c r="D114" s="15" t="s">
        <v>49</v>
      </c>
      <c r="E114" s="16" t="s">
        <v>24</v>
      </c>
      <c r="F114" s="19">
        <v>1</v>
      </c>
      <c r="G114" s="20">
        <v>11</v>
      </c>
      <c r="H114" s="20">
        <f>SUM($G$114:$G$114)</f>
        <v>11</v>
      </c>
      <c r="I114" s="90">
        <f>VLOOKUP(B114,Материалы!$B$2:$J$34,7,0)</f>
        <v>0</v>
      </c>
      <c r="J114" s="22">
        <f>ROUND($H$114*$I$114,2)</f>
        <v>0</v>
      </c>
      <c r="K114" s="15"/>
      <c r="L114" s="15" t="s">
        <v>132</v>
      </c>
    </row>
    <row r="115" spans="1:12" ht="11.1" customHeight="1" outlineLevel="4" x14ac:dyDescent="0.2">
      <c r="A115" s="16" t="s">
        <v>50</v>
      </c>
      <c r="B115" s="57" t="s">
        <v>159</v>
      </c>
      <c r="C115" s="15"/>
      <c r="D115" s="15" t="s">
        <v>107</v>
      </c>
      <c r="E115" s="16" t="s">
        <v>39</v>
      </c>
      <c r="F115" s="17"/>
      <c r="G115" s="20">
        <v>11</v>
      </c>
      <c r="H115" s="20">
        <f>SUM($G$115:$G$115)</f>
        <v>11</v>
      </c>
      <c r="I115" s="90">
        <f>VLOOKUP(B115,Материалы!$B$2:$J$34,7,0)</f>
        <v>0</v>
      </c>
      <c r="J115" s="22">
        <f>ROUND($H$115*$I$115,2)</f>
        <v>0</v>
      </c>
      <c r="K115" s="15" t="s">
        <v>108</v>
      </c>
      <c r="L115" s="15" t="s">
        <v>132</v>
      </c>
    </row>
    <row r="116" spans="1:12" ht="11.1" customHeight="1" outlineLevel="4" x14ac:dyDescent="0.2">
      <c r="A116" s="56"/>
      <c r="B116" s="55" t="s">
        <v>22</v>
      </c>
      <c r="C116" s="14"/>
      <c r="D116" s="14"/>
      <c r="E116" s="14"/>
      <c r="F116" s="14"/>
      <c r="G116" s="14"/>
      <c r="H116" s="14"/>
      <c r="I116" s="43"/>
      <c r="J116" s="44">
        <f>SUM($J$117)</f>
        <v>0</v>
      </c>
      <c r="K116" s="12"/>
      <c r="L116" s="12"/>
    </row>
    <row r="117" spans="1:12" ht="11.1" customHeight="1" outlineLevel="4" x14ac:dyDescent="0.2">
      <c r="A117" s="16"/>
      <c r="B117" s="57" t="s">
        <v>109</v>
      </c>
      <c r="C117" s="15"/>
      <c r="D117" s="15"/>
      <c r="E117" s="16" t="s">
        <v>39</v>
      </c>
      <c r="F117" s="17"/>
      <c r="G117" s="20">
        <v>6</v>
      </c>
      <c r="H117" s="20">
        <f>SUM($G$117:$G$117)</f>
        <v>6</v>
      </c>
      <c r="I117" s="22">
        <f t="array" ref="I117">INDEX(Р[Цена за ед., руб],MATCH(1,IF(($B117=Р[Наименование])*($K117=Р[Примечание]),{1},($B117=Р[Наименование])*($K117=Р[Примечание])),0))</f>
        <v>0</v>
      </c>
      <c r="J117" s="22">
        <f>ROUND($H$117*$I$117,2)</f>
        <v>0</v>
      </c>
      <c r="K117" s="15"/>
      <c r="L117" s="15"/>
    </row>
    <row r="118" spans="1:12" ht="11.1" customHeight="1" outlineLevel="4" x14ac:dyDescent="0.2">
      <c r="A118" s="56"/>
      <c r="B118" s="55" t="s">
        <v>26</v>
      </c>
      <c r="C118" s="14"/>
      <c r="D118" s="14"/>
      <c r="E118" s="14"/>
      <c r="F118" s="14"/>
      <c r="G118" s="14"/>
      <c r="H118" s="14"/>
      <c r="I118" s="43"/>
      <c r="J118" s="44">
        <f>SUM($J$119:$J$122)</f>
        <v>0</v>
      </c>
      <c r="K118" s="12"/>
      <c r="L118" s="12"/>
    </row>
    <row r="119" spans="1:12" ht="11.1" customHeight="1" outlineLevel="4" x14ac:dyDescent="0.2">
      <c r="A119" s="16" t="s">
        <v>27</v>
      </c>
      <c r="B119" s="57" t="s">
        <v>144</v>
      </c>
      <c r="C119" s="15"/>
      <c r="D119" s="15" t="s">
        <v>49</v>
      </c>
      <c r="E119" s="16" t="s">
        <v>24</v>
      </c>
      <c r="F119" s="19">
        <v>1</v>
      </c>
      <c r="G119" s="20">
        <v>6</v>
      </c>
      <c r="H119" s="20">
        <f>SUM($G$119:$G$119)</f>
        <v>6</v>
      </c>
      <c r="I119" s="90">
        <f>VLOOKUP(B119,Материалы!$B$2:$J$34,7,0)</f>
        <v>0</v>
      </c>
      <c r="J119" s="22">
        <f>ROUND($H$119*$I$119,2)</f>
        <v>0</v>
      </c>
      <c r="K119" s="15"/>
      <c r="L119" s="15" t="s">
        <v>132</v>
      </c>
    </row>
    <row r="120" spans="1:12" ht="11.1" customHeight="1" outlineLevel="4" x14ac:dyDescent="0.2">
      <c r="A120" s="16" t="s">
        <v>36</v>
      </c>
      <c r="B120" s="57" t="s">
        <v>142</v>
      </c>
      <c r="C120" s="15"/>
      <c r="D120" s="15" t="s">
        <v>45</v>
      </c>
      <c r="E120" s="16" t="s">
        <v>46</v>
      </c>
      <c r="F120" s="17"/>
      <c r="G120" s="20">
        <v>2</v>
      </c>
      <c r="H120" s="20">
        <f>SUM($G$120:$G$120)</f>
        <v>2</v>
      </c>
      <c r="I120" s="90">
        <f>VLOOKUP(B120,Материалы!$B$2:$J$34,7,0)</f>
        <v>0</v>
      </c>
      <c r="J120" s="22">
        <f>ROUND($H$120*$I$120,2)</f>
        <v>0</v>
      </c>
      <c r="K120" s="15"/>
      <c r="L120" s="15" t="s">
        <v>132</v>
      </c>
    </row>
    <row r="121" spans="1:12" ht="35.1" customHeight="1" outlineLevel="4" x14ac:dyDescent="0.2">
      <c r="A121" s="16" t="s">
        <v>50</v>
      </c>
      <c r="B121" s="57" t="s">
        <v>160</v>
      </c>
      <c r="C121" s="15"/>
      <c r="D121" s="15" t="s">
        <v>110</v>
      </c>
      <c r="E121" s="16" t="s">
        <v>39</v>
      </c>
      <c r="F121" s="17"/>
      <c r="G121" s="20">
        <v>2</v>
      </c>
      <c r="H121" s="20">
        <f>SUM($G$121:$G$121)</f>
        <v>2</v>
      </c>
      <c r="I121" s="90">
        <f>VLOOKUP(B121,Материалы!$B$2:$J$34,7,0)</f>
        <v>0</v>
      </c>
      <c r="J121" s="22">
        <f>ROUND($H$121*$I$121,2)</f>
        <v>0</v>
      </c>
      <c r="K121" s="15" t="s">
        <v>111</v>
      </c>
      <c r="L121" s="15" t="s">
        <v>132</v>
      </c>
    </row>
    <row r="122" spans="1:12" ht="47.1" customHeight="1" outlineLevel="4" x14ac:dyDescent="0.2">
      <c r="A122" s="16" t="s">
        <v>86</v>
      </c>
      <c r="B122" s="57" t="s">
        <v>161</v>
      </c>
      <c r="C122" s="15" t="s">
        <v>112</v>
      </c>
      <c r="D122" s="15" t="s">
        <v>110</v>
      </c>
      <c r="E122" s="16" t="s">
        <v>39</v>
      </c>
      <c r="F122" s="17"/>
      <c r="G122" s="20">
        <v>4</v>
      </c>
      <c r="H122" s="20">
        <f>SUM($G$122:$G$122)</f>
        <v>4</v>
      </c>
      <c r="I122" s="90">
        <f>VLOOKUP(B122,Материалы!$B$2:$J$34,7,0)</f>
        <v>0</v>
      </c>
      <c r="J122" s="22">
        <f>ROUND($H$122*$I$122,2)</f>
        <v>0</v>
      </c>
      <c r="K122" s="15" t="s">
        <v>113</v>
      </c>
      <c r="L122" s="15" t="s">
        <v>132</v>
      </c>
    </row>
    <row r="123" spans="1:12" ht="11.1" customHeight="1" outlineLevel="2" x14ac:dyDescent="0.2">
      <c r="A123" s="10" t="s">
        <v>114</v>
      </c>
      <c r="B123" s="55" t="s">
        <v>115</v>
      </c>
      <c r="C123" s="9"/>
      <c r="D123" s="9"/>
      <c r="E123" s="10"/>
      <c r="F123" s="11"/>
      <c r="G123" s="12"/>
      <c r="H123" s="12"/>
      <c r="I123" s="42"/>
      <c r="J123" s="42">
        <f>SUM($J$124)</f>
        <v>0</v>
      </c>
      <c r="K123" s="13"/>
      <c r="L123" s="13"/>
    </row>
    <row r="124" spans="1:12" ht="11.1" customHeight="1" outlineLevel="3" x14ac:dyDescent="0.2">
      <c r="A124" s="10" t="s">
        <v>116</v>
      </c>
      <c r="B124" s="55" t="s">
        <v>115</v>
      </c>
      <c r="C124" s="9"/>
      <c r="D124" s="9"/>
      <c r="E124" s="10"/>
      <c r="F124" s="11"/>
      <c r="G124" s="12"/>
      <c r="H124" s="12"/>
      <c r="I124" s="42"/>
      <c r="J124" s="42">
        <f>SUM($J$127,$J$125)</f>
        <v>0</v>
      </c>
      <c r="K124" s="13"/>
      <c r="L124" s="13"/>
    </row>
    <row r="125" spans="1:12" ht="11.1" customHeight="1" outlineLevel="4" x14ac:dyDescent="0.2">
      <c r="A125" s="56"/>
      <c r="B125" s="55" t="s">
        <v>22</v>
      </c>
      <c r="C125" s="14"/>
      <c r="D125" s="14"/>
      <c r="E125" s="14"/>
      <c r="F125" s="14"/>
      <c r="G125" s="14"/>
      <c r="H125" s="14"/>
      <c r="I125" s="43"/>
      <c r="J125" s="44">
        <f>SUM($J$126)</f>
        <v>0</v>
      </c>
      <c r="K125" s="12"/>
      <c r="L125" s="12"/>
    </row>
    <row r="126" spans="1:12" ht="11.1" customHeight="1" outlineLevel="4" x14ac:dyDescent="0.2">
      <c r="A126" s="16"/>
      <c r="B126" s="57" t="s">
        <v>115</v>
      </c>
      <c r="C126" s="15"/>
      <c r="D126" s="15"/>
      <c r="E126" s="16" t="s">
        <v>72</v>
      </c>
      <c r="F126" s="17"/>
      <c r="G126" s="18">
        <v>121.31</v>
      </c>
      <c r="H126" s="18">
        <f>SUM($G$126:$G$126)</f>
        <v>121.31</v>
      </c>
      <c r="I126" s="22">
        <f t="array" ref="I126">INDEX(Р[Цена за ед., руб],MATCH(1,IF(($B126=Р[Наименование])*($K126=Р[Примечание]),{1},($B126=Р[Наименование])*($K126=Р[Примечание])),0))</f>
        <v>0</v>
      </c>
      <c r="J126" s="22">
        <f>ROUND($H$126*$I$126,2)</f>
        <v>0</v>
      </c>
      <c r="K126" s="15"/>
      <c r="L126" s="15"/>
    </row>
    <row r="127" spans="1:12" ht="11.1" customHeight="1" outlineLevel="4" x14ac:dyDescent="0.2">
      <c r="A127" s="56"/>
      <c r="B127" s="55" t="s">
        <v>26</v>
      </c>
      <c r="C127" s="14"/>
      <c r="D127" s="14"/>
      <c r="E127" s="14"/>
      <c r="F127" s="14"/>
      <c r="G127" s="14"/>
      <c r="H127" s="14"/>
      <c r="I127" s="43"/>
      <c r="J127" s="44">
        <f>SUM($J$128:$J$132)</f>
        <v>0</v>
      </c>
      <c r="K127" s="12"/>
      <c r="L127" s="12"/>
    </row>
    <row r="128" spans="1:12" ht="35.1" customHeight="1" outlineLevel="4" x14ac:dyDescent="0.2">
      <c r="A128" s="16" t="s">
        <v>27</v>
      </c>
      <c r="B128" s="57" t="s">
        <v>162</v>
      </c>
      <c r="C128" s="15"/>
      <c r="D128" s="15" t="s">
        <v>117</v>
      </c>
      <c r="E128" s="16" t="s">
        <v>39</v>
      </c>
      <c r="F128" s="17"/>
      <c r="G128" s="20">
        <v>608</v>
      </c>
      <c r="H128" s="20">
        <f>SUM($G$128:$G$128)</f>
        <v>608</v>
      </c>
      <c r="I128" s="90">
        <f>VLOOKUP(B128,Материалы!$B$2:$J$34,7,0)</f>
        <v>0</v>
      </c>
      <c r="J128" s="22">
        <f>ROUND($H$128*$I$128,2)</f>
        <v>0</v>
      </c>
      <c r="K128" s="15" t="s">
        <v>118</v>
      </c>
      <c r="L128" s="15" t="s">
        <v>132</v>
      </c>
    </row>
    <row r="129" spans="1:12" ht="59.1" customHeight="1" outlineLevel="4" x14ac:dyDescent="0.2">
      <c r="A129" s="16" t="s">
        <v>36</v>
      </c>
      <c r="B129" s="57" t="s">
        <v>163</v>
      </c>
      <c r="C129" s="15"/>
      <c r="D129" s="15" t="s">
        <v>119</v>
      </c>
      <c r="E129" s="16" t="s">
        <v>72</v>
      </c>
      <c r="F129" s="19">
        <v>1.05</v>
      </c>
      <c r="G129" s="18">
        <v>110.15</v>
      </c>
      <c r="H129" s="18">
        <f>SUM($G$129:$G$129)</f>
        <v>110.15</v>
      </c>
      <c r="I129" s="90">
        <f>VLOOKUP(B129,Материалы!$B$2:$J$34,7,0)</f>
        <v>0</v>
      </c>
      <c r="J129" s="22">
        <f>ROUND($H$129*$I$129,2)</f>
        <v>0</v>
      </c>
      <c r="K129" s="15" t="s">
        <v>120</v>
      </c>
      <c r="L129" s="15" t="s">
        <v>132</v>
      </c>
    </row>
    <row r="130" spans="1:12" ht="47.1" customHeight="1" outlineLevel="4" x14ac:dyDescent="0.2">
      <c r="A130" s="16" t="s">
        <v>50</v>
      </c>
      <c r="B130" s="57" t="s">
        <v>164</v>
      </c>
      <c r="C130" s="15"/>
      <c r="D130" s="15" t="s">
        <v>121</v>
      </c>
      <c r="E130" s="16" t="s">
        <v>72</v>
      </c>
      <c r="F130" s="19">
        <v>1.05</v>
      </c>
      <c r="G130" s="18">
        <v>17.23</v>
      </c>
      <c r="H130" s="18">
        <f>SUM($G$130:$G$130)</f>
        <v>17.23</v>
      </c>
      <c r="I130" s="90">
        <f>VLOOKUP(B130,Материалы!$B$2:$J$34,7,0)</f>
        <v>0</v>
      </c>
      <c r="J130" s="22">
        <f>ROUND($H$130*$I$130,2)</f>
        <v>0</v>
      </c>
      <c r="K130" s="15" t="s">
        <v>122</v>
      </c>
      <c r="L130" s="15" t="s">
        <v>132</v>
      </c>
    </row>
    <row r="131" spans="1:12" ht="23.1" customHeight="1" outlineLevel="4" x14ac:dyDescent="0.2">
      <c r="A131" s="16" t="s">
        <v>86</v>
      </c>
      <c r="B131" s="57" t="s">
        <v>165</v>
      </c>
      <c r="C131" s="15" t="s">
        <v>123</v>
      </c>
      <c r="D131" s="15" t="s">
        <v>124</v>
      </c>
      <c r="E131" s="16" t="s">
        <v>75</v>
      </c>
      <c r="F131" s="17"/>
      <c r="G131" s="20">
        <v>27</v>
      </c>
      <c r="H131" s="20">
        <f>SUM($G$131:$G$131)</f>
        <v>27</v>
      </c>
      <c r="I131" s="90">
        <f>VLOOKUP(B131,Материалы!$B$2:$J$34,7,0)</f>
        <v>0</v>
      </c>
      <c r="J131" s="22">
        <f>ROUND($H$131*$I$131,2)</f>
        <v>0</v>
      </c>
      <c r="K131" s="15" t="s">
        <v>125</v>
      </c>
      <c r="L131" s="15" t="s">
        <v>132</v>
      </c>
    </row>
    <row r="132" spans="1:12" ht="23.1" customHeight="1" outlineLevel="4" x14ac:dyDescent="0.2">
      <c r="A132" s="16" t="s">
        <v>88</v>
      </c>
      <c r="B132" s="57" t="s">
        <v>166</v>
      </c>
      <c r="C132" s="15"/>
      <c r="D132" s="15" t="s">
        <v>126</v>
      </c>
      <c r="E132" s="16" t="s">
        <v>39</v>
      </c>
      <c r="F132" s="17"/>
      <c r="G132" s="20">
        <v>608</v>
      </c>
      <c r="H132" s="20">
        <f>SUM($G$132:$G$132)</f>
        <v>608</v>
      </c>
      <c r="I132" s="90">
        <f>VLOOKUP(B132,Материалы!$B$2:$J$34,7,0)</f>
        <v>0</v>
      </c>
      <c r="J132" s="22">
        <f>ROUND($H$132*$I$132,2)</f>
        <v>0</v>
      </c>
      <c r="K132" s="15"/>
      <c r="L132" s="15" t="s">
        <v>132</v>
      </c>
    </row>
    <row r="133" spans="1:12" ht="11.1" customHeight="1" x14ac:dyDescent="0.2">
      <c r="A133" s="60"/>
      <c r="B133" s="61"/>
      <c r="C133" s="61"/>
      <c r="D133" s="61"/>
      <c r="E133" s="61"/>
      <c r="F133" s="61"/>
      <c r="G133" s="62"/>
      <c r="H133" s="99" t="s">
        <v>127</v>
      </c>
      <c r="I133" s="100"/>
      <c r="J133" s="45">
        <f>$J$9</f>
        <v>0</v>
      </c>
      <c r="K133" s="63"/>
      <c r="L133" s="63"/>
    </row>
    <row r="134" spans="1:12" ht="11.1" customHeight="1" x14ac:dyDescent="0.2">
      <c r="A134" s="60"/>
      <c r="B134" s="61"/>
      <c r="C134" s="61"/>
      <c r="D134" s="61"/>
      <c r="E134" s="61"/>
      <c r="F134" s="61"/>
      <c r="G134" s="64"/>
      <c r="H134" s="101" t="s">
        <v>128</v>
      </c>
      <c r="I134" s="102"/>
      <c r="J134" s="45">
        <f>SUM($J$125,$J$116,$J$110,$J$104,$J$99,$J$93,$J$87,$J$82,$J$73,$J$69,$J$64,$J$59,$J$53,$J$46,$J$42,$J$38,$J$32,$J$26,$J$21,$J$16,$J$12)</f>
        <v>0</v>
      </c>
      <c r="K134" s="63"/>
      <c r="L134" s="63"/>
    </row>
    <row r="135" spans="1:12" ht="11.1" customHeight="1" x14ac:dyDescent="0.2">
      <c r="A135" s="60"/>
      <c r="B135" s="61"/>
      <c r="C135" s="61"/>
      <c r="D135" s="61"/>
      <c r="E135" s="61"/>
      <c r="F135" s="61"/>
      <c r="G135" s="64"/>
      <c r="H135" s="101" t="s">
        <v>129</v>
      </c>
      <c r="I135" s="102"/>
      <c r="J135" s="45">
        <f>SUM($J$127,$J$118,$J$112,$J$106,$J$101,$J$95,$J$89,$J$84,$J$75,$J$71,$J$66,$J$61,$J$55,$J$48,$J$44,$J$40,$J$34,$J$28,$J$23,$J$18,$J$14)</f>
        <v>0</v>
      </c>
      <c r="K135" s="63"/>
      <c r="L135" s="63"/>
    </row>
    <row r="136" spans="1:12" ht="11.1" customHeight="1" x14ac:dyDescent="0.2">
      <c r="A136" s="65"/>
      <c r="B136" s="91" t="s">
        <v>130</v>
      </c>
      <c r="C136" s="91"/>
      <c r="D136" s="91"/>
      <c r="E136" s="91"/>
      <c r="F136" s="91"/>
      <c r="G136" s="91"/>
      <c r="H136" s="91"/>
      <c r="I136" s="92"/>
      <c r="J136" s="92"/>
      <c r="K136" s="91"/>
      <c r="L136" s="65"/>
    </row>
    <row r="137" spans="1:12" ht="11.1" customHeight="1" x14ac:dyDescent="0.2">
      <c r="B137" s="93"/>
      <c r="C137" s="93"/>
      <c r="D137" s="93"/>
      <c r="E137" s="93"/>
      <c r="F137" s="93"/>
      <c r="G137" s="93"/>
      <c r="H137" s="93"/>
      <c r="I137" s="94"/>
      <c r="J137" s="94"/>
      <c r="K137" s="93"/>
    </row>
  </sheetData>
  <autoFilter ref="A6:L136" xr:uid="{00000000-0001-0000-0000-000000000000}"/>
  <mergeCells count="20"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36:K136"/>
    <mergeCell ref="B137:K137"/>
    <mergeCell ref="K6:K7"/>
    <mergeCell ref="L6:L7"/>
    <mergeCell ref="H133:I133"/>
    <mergeCell ref="H134:I134"/>
    <mergeCell ref="H135:I135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5"/>
  <sheetViews>
    <sheetView workbookViewId="0">
      <pane ySplit="3" topLeftCell="A4" activePane="bottomLeft" state="frozen"/>
      <selection pane="bottomLeft" activeCell="C42" sqref="C42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11" t="s">
        <v>131</v>
      </c>
      <c r="B1" s="111"/>
      <c r="C1" s="111"/>
      <c r="D1" s="111"/>
      <c r="E1" s="111"/>
      <c r="F1" s="111"/>
    </row>
    <row r="3" spans="1:6" ht="11.1" customHeight="1" x14ac:dyDescent="0.2">
      <c r="A3" s="31" t="s">
        <v>3</v>
      </c>
      <c r="B3" s="2" t="s">
        <v>6</v>
      </c>
      <c r="C3" s="2" t="s">
        <v>9</v>
      </c>
      <c r="D3" s="38" t="s">
        <v>10</v>
      </c>
      <c r="E3" s="38" t="s">
        <v>11</v>
      </c>
      <c r="F3" s="32" t="s">
        <v>12</v>
      </c>
    </row>
    <row r="4" spans="1:6" ht="11.1" customHeight="1" x14ac:dyDescent="0.2">
      <c r="A4" s="29" t="s">
        <v>23</v>
      </c>
      <c r="B4" s="24" t="s">
        <v>24</v>
      </c>
      <c r="C4" s="25">
        <v>1127.3900000000001</v>
      </c>
      <c r="D4" s="25"/>
      <c r="E4" s="25">
        <f>ROUND(Р[[#This Row],[Количество]]*Р[[#This Row],[Цена за ед., руб]],2)</f>
        <v>0</v>
      </c>
      <c r="F4" s="30" t="s">
        <v>25</v>
      </c>
    </row>
    <row r="5" spans="1:6" ht="23.1" customHeight="1" x14ac:dyDescent="0.2">
      <c r="A5" s="29" t="s">
        <v>32</v>
      </c>
      <c r="B5" s="24" t="s">
        <v>24</v>
      </c>
      <c r="C5" s="26">
        <v>496.62</v>
      </c>
      <c r="D5" s="25"/>
      <c r="E5" s="25">
        <f>ROUND(Р[[#This Row],[Количество]]*Р[[#This Row],[Цена за ед., руб]],2)</f>
        <v>0</v>
      </c>
      <c r="F5" s="30"/>
    </row>
    <row r="6" spans="1:6" ht="11.1" customHeight="1" x14ac:dyDescent="0.2">
      <c r="A6" s="29" t="s">
        <v>41</v>
      </c>
      <c r="B6" s="24" t="s">
        <v>24</v>
      </c>
      <c r="C6" s="26">
        <v>496.62</v>
      </c>
      <c r="D6" s="25"/>
      <c r="E6" s="25">
        <f>ROUND(Р[[#This Row],[Количество]]*Р[[#This Row],[Цена за ед., руб]],2)</f>
        <v>0</v>
      </c>
      <c r="F6" s="30"/>
    </row>
    <row r="7" spans="1:6" ht="23.1" customHeight="1" x14ac:dyDescent="0.2">
      <c r="A7" s="29" t="s">
        <v>47</v>
      </c>
      <c r="B7" s="24" t="s">
        <v>24</v>
      </c>
      <c r="C7" s="26">
        <v>504.61</v>
      </c>
      <c r="D7" s="25"/>
      <c r="E7" s="25">
        <f>ROUND(Р[[#This Row],[Количество]]*Р[[#This Row],[Цена за ед., руб]],2)</f>
        <v>0</v>
      </c>
      <c r="F7" s="30"/>
    </row>
    <row r="8" spans="1:6" ht="23.1" customHeight="1" x14ac:dyDescent="0.2">
      <c r="A8" s="29" t="s">
        <v>52</v>
      </c>
      <c r="B8" s="24" t="s">
        <v>24</v>
      </c>
      <c r="C8" s="26">
        <v>496.62</v>
      </c>
      <c r="D8" s="25"/>
      <c r="E8" s="25">
        <f>ROUND(Р[[#This Row],[Количество]]*Р[[#This Row],[Цена за ед., руб]],2)</f>
        <v>0</v>
      </c>
      <c r="F8" s="30"/>
    </row>
    <row r="9" spans="1:6" ht="23.1" customHeight="1" x14ac:dyDescent="0.2">
      <c r="A9" s="29" t="s">
        <v>57</v>
      </c>
      <c r="B9" s="24" t="s">
        <v>24</v>
      </c>
      <c r="C9" s="26">
        <v>496.62</v>
      </c>
      <c r="D9" s="25"/>
      <c r="E9" s="25">
        <f>ROUND(Р[[#This Row],[Количество]]*Р[[#This Row],[Цена за ед., руб]],2)</f>
        <v>0</v>
      </c>
      <c r="F9" s="30" t="s">
        <v>58</v>
      </c>
    </row>
    <row r="10" spans="1:6" ht="23.1" customHeight="1" x14ac:dyDescent="0.2">
      <c r="A10" s="29" t="s">
        <v>61</v>
      </c>
      <c r="B10" s="24" t="s">
        <v>24</v>
      </c>
      <c r="C10" s="26">
        <v>3.55</v>
      </c>
      <c r="D10" s="25"/>
      <c r="E10" s="25">
        <f>ROUND(Р[[#This Row],[Количество]]*Р[[#This Row],[Цена за ед., руб]],2)</f>
        <v>0</v>
      </c>
      <c r="F10" s="30"/>
    </row>
    <row r="11" spans="1:6" ht="11.1" customHeight="1" x14ac:dyDescent="0.2">
      <c r="A11" s="29" t="s">
        <v>64</v>
      </c>
      <c r="B11" s="24" t="s">
        <v>24</v>
      </c>
      <c r="C11" s="26">
        <v>117.88</v>
      </c>
      <c r="D11" s="25"/>
      <c r="E11" s="25">
        <f>ROUND(Р[[#This Row],[Количество]]*Р[[#This Row],[Цена за ед., руб]],2)</f>
        <v>0</v>
      </c>
      <c r="F11" s="30" t="s">
        <v>65</v>
      </c>
    </row>
    <row r="12" spans="1:6" ht="23.1" customHeight="1" x14ac:dyDescent="0.2">
      <c r="A12" s="29" t="s">
        <v>71</v>
      </c>
      <c r="B12" s="24" t="s">
        <v>72</v>
      </c>
      <c r="C12" s="26">
        <v>98.33</v>
      </c>
      <c r="D12" s="25"/>
      <c r="E12" s="25">
        <f>ROUND(Р[[#This Row],[Количество]]*Р[[#This Row],[Цена за ед., руб]],2)</f>
        <v>0</v>
      </c>
      <c r="F12" s="30"/>
    </row>
    <row r="13" spans="1:6" ht="11.1" customHeight="1" x14ac:dyDescent="0.2">
      <c r="A13" s="29" t="s">
        <v>77</v>
      </c>
      <c r="B13" s="24" t="s">
        <v>24</v>
      </c>
      <c r="C13" s="26">
        <v>210.72</v>
      </c>
      <c r="D13" s="25"/>
      <c r="E13" s="25">
        <f>ROUND(Р[[#This Row],[Количество]]*Р[[#This Row],[Цена за ед., руб]],2)</f>
        <v>0</v>
      </c>
      <c r="F13" s="30" t="s">
        <v>78</v>
      </c>
    </row>
    <row r="14" spans="1:6" ht="11.1" customHeight="1" x14ac:dyDescent="0.2">
      <c r="A14" s="29" t="s">
        <v>79</v>
      </c>
      <c r="B14" s="24" t="s">
        <v>24</v>
      </c>
      <c r="C14" s="26">
        <v>41.88</v>
      </c>
      <c r="D14" s="25"/>
      <c r="E14" s="25">
        <f>ROUND(Р[[#This Row],[Количество]]*Р[[#This Row],[Цена за ед., руб]],2)</f>
        <v>0</v>
      </c>
      <c r="F14" s="30" t="s">
        <v>78</v>
      </c>
    </row>
    <row r="15" spans="1:6" ht="23.1" customHeight="1" x14ac:dyDescent="0.2">
      <c r="A15" s="29" t="s">
        <v>82</v>
      </c>
      <c r="B15" s="24" t="s">
        <v>24</v>
      </c>
      <c r="C15" s="26">
        <v>411.58</v>
      </c>
      <c r="D15" s="25"/>
      <c r="E15" s="25">
        <f>ROUND(Р[[#This Row],[Количество]]*Р[[#This Row],[Цена за ед., руб]],2)</f>
        <v>0</v>
      </c>
      <c r="F15" s="30" t="s">
        <v>83</v>
      </c>
    </row>
    <row r="16" spans="1:6" ht="11.1" customHeight="1" x14ac:dyDescent="0.2">
      <c r="A16" s="29" t="s">
        <v>91</v>
      </c>
      <c r="B16" s="24" t="s">
        <v>24</v>
      </c>
      <c r="C16" s="26">
        <v>99.85</v>
      </c>
      <c r="D16" s="25"/>
      <c r="E16" s="25">
        <f>ROUND(Р[[#This Row],[Количество]]*Р[[#This Row],[Цена за ед., руб]],2)</f>
        <v>0</v>
      </c>
      <c r="F16" s="30" t="s">
        <v>92</v>
      </c>
    </row>
    <row r="17" spans="1:6" ht="23.1" customHeight="1" x14ac:dyDescent="0.2">
      <c r="A17" s="29" t="s">
        <v>93</v>
      </c>
      <c r="B17" s="24" t="s">
        <v>24</v>
      </c>
      <c r="C17" s="26">
        <v>39.74</v>
      </c>
      <c r="D17" s="25"/>
      <c r="E17" s="25">
        <f>ROUND(Р[[#This Row],[Количество]]*Р[[#This Row],[Цена за ед., руб]],2)</f>
        <v>0</v>
      </c>
      <c r="F17" s="30"/>
    </row>
    <row r="18" spans="1:6" ht="23.1" customHeight="1" x14ac:dyDescent="0.2">
      <c r="A18" s="29" t="s">
        <v>96</v>
      </c>
      <c r="B18" s="24" t="s">
        <v>24</v>
      </c>
      <c r="C18" s="26">
        <v>622.78</v>
      </c>
      <c r="D18" s="25"/>
      <c r="E18" s="25">
        <f>ROUND(Р[[#This Row],[Количество]]*Р[[#This Row],[Цена за ед., руб]],2)</f>
        <v>0</v>
      </c>
      <c r="F18" s="30"/>
    </row>
    <row r="19" spans="1:6" ht="23.1" customHeight="1" x14ac:dyDescent="0.2">
      <c r="A19" s="29" t="s">
        <v>97</v>
      </c>
      <c r="B19" s="24" t="s">
        <v>24</v>
      </c>
      <c r="C19" s="27">
        <v>128</v>
      </c>
      <c r="D19" s="25"/>
      <c r="E19" s="25">
        <f>ROUND(Р[[#This Row],[Количество]]*Р[[#This Row],[Цена за ед., руб]],2)</f>
        <v>0</v>
      </c>
      <c r="F19" s="30" t="s">
        <v>98</v>
      </c>
    </row>
    <row r="20" spans="1:6" ht="11.1" customHeight="1" x14ac:dyDescent="0.2">
      <c r="A20" s="29" t="s">
        <v>100</v>
      </c>
      <c r="B20" s="24" t="s">
        <v>24</v>
      </c>
      <c r="C20" s="28">
        <v>38.6</v>
      </c>
      <c r="D20" s="25"/>
      <c r="E20" s="25">
        <f>ROUND(Р[[#This Row],[Количество]]*Р[[#This Row],[Цена за ед., руб]],2)</f>
        <v>0</v>
      </c>
      <c r="F20" s="30"/>
    </row>
    <row r="21" spans="1:6" ht="11.1" customHeight="1" x14ac:dyDescent="0.2">
      <c r="A21" s="29" t="s">
        <v>106</v>
      </c>
      <c r="B21" s="24" t="s">
        <v>39</v>
      </c>
      <c r="C21" s="27">
        <v>11</v>
      </c>
      <c r="D21" s="25"/>
      <c r="E21" s="25">
        <f>ROUND(Р[[#This Row],[Количество]]*Р[[#This Row],[Цена за ед., руб]],2)</f>
        <v>0</v>
      </c>
      <c r="F21" s="30"/>
    </row>
    <row r="22" spans="1:6" ht="11.1" customHeight="1" x14ac:dyDescent="0.2">
      <c r="A22" s="29" t="s">
        <v>109</v>
      </c>
      <c r="B22" s="24" t="s">
        <v>39</v>
      </c>
      <c r="C22" s="27">
        <v>6</v>
      </c>
      <c r="D22" s="25"/>
      <c r="E22" s="25">
        <f>ROUND(Р[[#This Row],[Количество]]*Р[[#This Row],[Цена за ед., руб]],2)</f>
        <v>0</v>
      </c>
      <c r="F22" s="30"/>
    </row>
    <row r="23" spans="1:6" ht="11.1" customHeight="1" x14ac:dyDescent="0.2">
      <c r="A23" s="33" t="s">
        <v>115</v>
      </c>
      <c r="B23" s="34" t="s">
        <v>72</v>
      </c>
      <c r="C23" s="35">
        <v>121.31</v>
      </c>
      <c r="D23" s="25"/>
      <c r="E23" s="39">
        <f>ROUND(Р[[#This Row],[Количество]]*Р[[#This Row],[Цена за ед., руб]],2)</f>
        <v>0</v>
      </c>
      <c r="F23" s="37"/>
    </row>
    <row r="24" spans="1:6" ht="11.45" customHeight="1" x14ac:dyDescent="0.2">
      <c r="A24" s="33" t="s">
        <v>137</v>
      </c>
      <c r="B24" s="34"/>
      <c r="C24" s="36"/>
      <c r="D24" s="39" t="s">
        <v>173</v>
      </c>
      <c r="E24" s="39">
        <f>SUBTOTAL(109,Р[Сумма, руб])</f>
        <v>0</v>
      </c>
      <c r="F24" s="37"/>
    </row>
    <row r="25" spans="1:6" ht="11.45" customHeight="1" x14ac:dyDescent="0.2">
      <c r="D25" s="67" t="s">
        <v>174</v>
      </c>
      <c r="E25" s="66">
        <f>Р[[#Totals],[Сумма, руб]]-ЛСР!J134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J43"/>
  <sheetViews>
    <sheetView workbookViewId="0">
      <pane ySplit="3" topLeftCell="A4" activePane="bottomLeft" state="frozen"/>
      <selection pane="bottomLeft" activeCell="J33" sqref="J33"/>
    </sheetView>
  </sheetViews>
  <sheetFormatPr defaultRowHeight="12.75" x14ac:dyDescent="0.2"/>
  <cols>
    <col min="1" max="1" width="14.1640625" style="68" customWidth="1"/>
    <col min="2" max="2" width="65.6640625" style="69" customWidth="1"/>
    <col min="3" max="3" width="19.5" style="68" customWidth="1"/>
    <col min="4" max="4" width="41" style="69" customWidth="1"/>
    <col min="5" max="5" width="9.33203125" style="68"/>
    <col min="6" max="6" width="11.5" style="68" customWidth="1"/>
    <col min="7" max="8" width="13.33203125" style="68" customWidth="1"/>
    <col min="9" max="9" width="16.6640625" style="68" bestFit="1" customWidth="1"/>
    <col min="10" max="10" width="27" style="68" customWidth="1"/>
    <col min="11" max="16384" width="9.33203125" style="68"/>
  </cols>
  <sheetData>
    <row r="1" spans="1:10" x14ac:dyDescent="0.2">
      <c r="B1" s="69" t="s">
        <v>167</v>
      </c>
    </row>
    <row r="2" spans="1:10" ht="25.5" x14ac:dyDescent="0.2">
      <c r="A2" s="70" t="s">
        <v>2</v>
      </c>
      <c r="B2" s="71" t="s">
        <v>3</v>
      </c>
      <c r="C2" s="71" t="s">
        <v>168</v>
      </c>
      <c r="D2" s="71" t="s">
        <v>5</v>
      </c>
      <c r="E2" s="71" t="s">
        <v>6</v>
      </c>
      <c r="F2" s="71" t="s">
        <v>169</v>
      </c>
      <c r="G2" s="71" t="s">
        <v>170</v>
      </c>
      <c r="H2" s="71" t="s">
        <v>171</v>
      </c>
      <c r="I2" s="72" t="s">
        <v>172</v>
      </c>
      <c r="J2" s="72" t="s">
        <v>12</v>
      </c>
    </row>
    <row r="3" spans="1:10" s="77" customFormat="1" x14ac:dyDescent="0.2">
      <c r="A3" s="73">
        <f t="shared" ref="A3:A34" si="0">ROW()-2</f>
        <v>1</v>
      </c>
      <c r="B3" s="74" t="s">
        <v>139</v>
      </c>
      <c r="C3" s="75" t="str">
        <f>VLOOKUP($B3,ЛСР!$B$6:$L$132,2,0)</f>
        <v>№01, Технониколь</v>
      </c>
      <c r="D3" s="75" t="str">
        <f>VLOOKUP($B3,ЛСР!$B$6:$L$132,3,0)</f>
        <v>битумный</v>
      </c>
      <c r="E3" s="73" t="str">
        <f>VLOOKUP($B3,ЛСР!$B$6:$L$132,4,0)</f>
        <v>л (дм3)</v>
      </c>
      <c r="F3" s="76">
        <f>SUMIF(ЛСР!$B$6:$B$132,$B3,ЛСР!$G$6:$G$132)</f>
        <v>338.22</v>
      </c>
      <c r="G3" s="76">
        <f>SUM(F3:F3)</f>
        <v>338.22</v>
      </c>
      <c r="H3" s="76"/>
      <c r="I3" s="76">
        <f>ROUND(H3*G3,2)</f>
        <v>0</v>
      </c>
      <c r="J3" s="75" t="str">
        <f>VLOOKUP($B3,ЛСР!$B$6:$L$132,10,0)</f>
        <v>Технониколь №01</v>
      </c>
    </row>
    <row r="4" spans="1:10" s="77" customFormat="1" x14ac:dyDescent="0.2">
      <c r="A4" s="73">
        <f t="shared" si="0"/>
        <v>2</v>
      </c>
      <c r="B4" s="74" t="s">
        <v>33</v>
      </c>
      <c r="C4" s="75">
        <f>VLOOKUP($B4,ЛСР!$B$6:$L$132,2,0)</f>
        <v>0</v>
      </c>
      <c r="D4" s="75" t="str">
        <f>VLOOKUP($B4,ЛСР!$B$6:$L$132,3,0)</f>
        <v>гидропароизоляционная</v>
      </c>
      <c r="E4" s="73" t="str">
        <f>VLOOKUP($B4,ЛСР!$B$6:$L$132,4,0)</f>
        <v>м2</v>
      </c>
      <c r="F4" s="76">
        <f>SUMIF(ЛСР!$B$6:$B$132,$B4,ЛСР!$G$6:$G$132)</f>
        <v>695</v>
      </c>
      <c r="G4" s="76">
        <f t="shared" ref="G4:G34" si="1">SUM(F4:F4)</f>
        <v>695</v>
      </c>
      <c r="H4" s="76"/>
      <c r="I4" s="76">
        <f t="shared" ref="I4:I34" si="2">ROUND(H4*G4,2)</f>
        <v>0</v>
      </c>
      <c r="J4" s="75" t="str">
        <f>VLOOKUP($B4,ЛСР!$B$6:$L$132,10,0)</f>
        <v>Изоспан D</v>
      </c>
    </row>
    <row r="5" spans="1:10" s="77" customFormat="1" x14ac:dyDescent="0.2">
      <c r="A5" s="73">
        <f t="shared" si="0"/>
        <v>3</v>
      </c>
      <c r="B5" s="74" t="s">
        <v>140</v>
      </c>
      <c r="C5" s="75" t="str">
        <f>VLOOKUP($B5,ЛСР!$B$6:$L$132,2,0)</f>
        <v>KL+, Изоспан</v>
      </c>
      <c r="D5" s="75" t="str">
        <f>VLOOKUP($B5,ЛСР!$B$6:$L$132,3,0)</f>
        <v>усиленная двухсторонняя 25мм,25м</v>
      </c>
      <c r="E5" s="73" t="str">
        <f>VLOOKUP($B5,ЛСР!$B$6:$L$132,4,0)</f>
        <v>шт</v>
      </c>
      <c r="F5" s="76">
        <f>SUMIF(ЛСР!$B$6:$B$132,$B5,ЛСР!$G$6:$G$132)</f>
        <v>18</v>
      </c>
      <c r="G5" s="76">
        <f t="shared" si="1"/>
        <v>18</v>
      </c>
      <c r="H5" s="76"/>
      <c r="I5" s="76">
        <f t="shared" si="2"/>
        <v>0</v>
      </c>
      <c r="J5" s="75" t="str">
        <f>VLOOKUP($B5,ЛСР!$B$6:$L$132,10,0)</f>
        <v xml:space="preserve"> Лента Изоспан KL+</v>
      </c>
    </row>
    <row r="6" spans="1:10" s="77" customFormat="1" x14ac:dyDescent="0.2">
      <c r="A6" s="73">
        <f t="shared" si="0"/>
        <v>4</v>
      </c>
      <c r="B6" s="74" t="s">
        <v>141</v>
      </c>
      <c r="C6" s="75">
        <f>VLOOKUP($B6,ЛСР!$B$6:$L$132,2,0)</f>
        <v>0</v>
      </c>
      <c r="D6" s="75" t="str">
        <f>VLOOKUP($B6,ЛСР!$B$6:$L$132,3,0)</f>
        <v>экструзионный 1180х580х100мм 35кг/м3</v>
      </c>
      <c r="E6" s="73" t="str">
        <f>VLOOKUP($B6,ЛСР!$B$6:$L$132,4,0)</f>
        <v>м3</v>
      </c>
      <c r="F6" s="76">
        <f>SUMIF(ЛСР!$B$6:$B$132,$B6,ЛСР!$G$6:$G$132)</f>
        <v>102.3</v>
      </c>
      <c r="G6" s="76">
        <f t="shared" si="1"/>
        <v>102.3</v>
      </c>
      <c r="H6" s="76"/>
      <c r="I6" s="76">
        <f t="shared" si="2"/>
        <v>0</v>
      </c>
      <c r="J6" s="75" t="str">
        <f>VLOOKUP($B6,ЛСР!$B$6:$L$132,10,0)</f>
        <v>В два слоя</v>
      </c>
    </row>
    <row r="7" spans="1:10" s="77" customFormat="1" x14ac:dyDescent="0.2">
      <c r="A7" s="73">
        <f t="shared" si="0"/>
        <v>5</v>
      </c>
      <c r="B7" s="74" t="s">
        <v>142</v>
      </c>
      <c r="C7" s="75">
        <f>VLOOKUP($B7,ЛСР!$B$6:$L$132,2,0)</f>
        <v>0</v>
      </c>
      <c r="D7" s="75" t="str">
        <f>VLOOKUP($B7,ЛСР!$B$6:$L$132,3,0)</f>
        <v>противопожарная</v>
      </c>
      <c r="E7" s="73" t="str">
        <f>VLOOKUP($B7,ЛСР!$B$6:$L$132,4,0)</f>
        <v>баллон</v>
      </c>
      <c r="F7" s="76">
        <f>SUMIF(ЛСР!$B$6:$B$132,$B7,ЛСР!$G$6:$G$132)</f>
        <v>22</v>
      </c>
      <c r="G7" s="76">
        <f t="shared" si="1"/>
        <v>22</v>
      </c>
      <c r="H7" s="76"/>
      <c r="I7" s="76">
        <f t="shared" si="2"/>
        <v>0</v>
      </c>
      <c r="J7" s="75">
        <f>VLOOKUP($B7,ЛСР!$B$6:$L$132,10,0)</f>
        <v>0</v>
      </c>
    </row>
    <row r="8" spans="1:10" s="77" customFormat="1" x14ac:dyDescent="0.2">
      <c r="A8" s="73">
        <f t="shared" si="0"/>
        <v>6</v>
      </c>
      <c r="B8" s="74" t="s">
        <v>143</v>
      </c>
      <c r="C8" s="75">
        <f>VLOOKUP($B8,ЛСР!$B$6:$L$132,2,0)</f>
        <v>0</v>
      </c>
      <c r="D8" s="75" t="str">
        <f>VLOOKUP($B8,ЛСР!$B$6:$L$132,3,0)</f>
        <v>ЭКП 10х1м</v>
      </c>
      <c r="E8" s="73" t="str">
        <f>VLOOKUP($B8,ЛСР!$B$6:$L$132,4,0)</f>
        <v>м2</v>
      </c>
      <c r="F8" s="76">
        <f>SUMIF(ЛСР!$B$6:$B$132,$B8,ЛСР!$G$6:$G$132)</f>
        <v>1296.22</v>
      </c>
      <c r="G8" s="76">
        <f t="shared" si="1"/>
        <v>1296.22</v>
      </c>
      <c r="H8" s="76"/>
      <c r="I8" s="76">
        <f t="shared" si="2"/>
        <v>0</v>
      </c>
      <c r="J8" s="75">
        <f>VLOOKUP($B8,ЛСР!$B$6:$L$132,10,0)</f>
        <v>0</v>
      </c>
    </row>
    <row r="9" spans="1:10" s="77" customFormat="1" x14ac:dyDescent="0.2">
      <c r="A9" s="73">
        <f t="shared" si="0"/>
        <v>7</v>
      </c>
      <c r="B9" s="74" t="s">
        <v>144</v>
      </c>
      <c r="C9" s="75">
        <f>VLOOKUP($B9,ЛСР!$B$6:$L$132,2,0)</f>
        <v>0</v>
      </c>
      <c r="D9" s="75" t="str">
        <f>VLOOKUP($B9,ЛСР!$B$6:$L$132,3,0)</f>
        <v>ЭПП 10х1м</v>
      </c>
      <c r="E9" s="73" t="str">
        <f>VLOOKUP($B9,ЛСР!$B$6:$L$132,4,0)</f>
        <v>м2</v>
      </c>
      <c r="F9" s="76">
        <f>SUMIF(ЛСР!$B$6:$B$132,$B9,ЛСР!$G$6:$G$132)</f>
        <v>1376.71</v>
      </c>
      <c r="G9" s="76">
        <f t="shared" si="1"/>
        <v>1376.71</v>
      </c>
      <c r="H9" s="76"/>
      <c r="I9" s="76">
        <f t="shared" si="2"/>
        <v>0</v>
      </c>
      <c r="J9" s="75">
        <f>VLOOKUP($B9,ЛСР!$B$6:$L$132,10,0)</f>
        <v>0</v>
      </c>
    </row>
    <row r="10" spans="1:10" s="77" customFormat="1" x14ac:dyDescent="0.2">
      <c r="A10" s="73">
        <f t="shared" si="0"/>
        <v>8</v>
      </c>
      <c r="B10" s="74" t="s">
        <v>51</v>
      </c>
      <c r="C10" s="75">
        <f>VLOOKUP($B10,ЛСР!$B$6:$L$132,2,0)</f>
        <v>0</v>
      </c>
      <c r="D10" s="75">
        <f>VLOOKUP($B10,ЛСР!$B$6:$L$132,3,0)</f>
        <v>0</v>
      </c>
      <c r="E10" s="73" t="str">
        <f>VLOOKUP($B10,ЛСР!$B$6:$L$132,4,0)</f>
        <v>л (дм3)</v>
      </c>
      <c r="F10" s="76">
        <f>SUMIF(ЛСР!$B$6:$B$132,$B10,ЛСР!$G$6:$G$132)</f>
        <v>1281.46</v>
      </c>
      <c r="G10" s="76">
        <f t="shared" si="1"/>
        <v>1281.46</v>
      </c>
      <c r="H10" s="76"/>
      <c r="I10" s="76">
        <f t="shared" si="2"/>
        <v>0</v>
      </c>
      <c r="J10" s="75">
        <f>VLOOKUP($B10,ЛСР!$B$6:$L$132,10,0)</f>
        <v>0</v>
      </c>
    </row>
    <row r="11" spans="1:10" s="77" customFormat="1" x14ac:dyDescent="0.2">
      <c r="A11" s="73">
        <f t="shared" si="0"/>
        <v>9</v>
      </c>
      <c r="B11" s="74" t="s">
        <v>145</v>
      </c>
      <c r="C11" s="75">
        <f>VLOOKUP($B11,ЛСР!$B$6:$L$132,2,0)</f>
        <v>0</v>
      </c>
      <c r="D11" s="75" t="str">
        <f>VLOOKUP($B11,ЛСР!$B$6:$L$132,3,0)</f>
        <v>ЛП-П 10мм</v>
      </c>
      <c r="E11" s="73" t="str">
        <f>VLOOKUP($B11,ЛСР!$B$6:$L$132,4,0)</f>
        <v>м2</v>
      </c>
      <c r="F11" s="76">
        <f>SUMIF(ЛСР!$B$6:$B$132,$B11,ЛСР!$G$6:$G$132)</f>
        <v>1903.53</v>
      </c>
      <c r="G11" s="76">
        <f t="shared" si="1"/>
        <v>1903.53</v>
      </c>
      <c r="H11" s="76"/>
      <c r="I11" s="76">
        <f t="shared" si="2"/>
        <v>0</v>
      </c>
      <c r="J11" s="75" t="str">
        <f>VLOOKUP($B11,ЛСР!$B$6:$L$132,10,0)</f>
        <v>в 2 слоя</v>
      </c>
    </row>
    <row r="12" spans="1:10" s="77" customFormat="1" ht="25.5" x14ac:dyDescent="0.2">
      <c r="A12" s="73">
        <f t="shared" si="0"/>
        <v>10</v>
      </c>
      <c r="B12" s="74" t="s">
        <v>146</v>
      </c>
      <c r="C12" s="75">
        <f>VLOOKUP($B12,ЛСР!$B$6:$L$132,2,0)</f>
        <v>0</v>
      </c>
      <c r="D12" s="75" t="str">
        <f>VLOOKUP($B12,ЛСР!$B$6:$L$132,3,0)</f>
        <v>10мм двойной гнутый для плоского шифера</v>
      </c>
      <c r="E12" s="73" t="str">
        <f>VLOOKUP($B12,ЛСР!$B$6:$L$132,4,0)</f>
        <v>шт</v>
      </c>
      <c r="F12" s="76">
        <f>SUMIF(ЛСР!$B$6:$B$132,$B12,ЛСР!$G$6:$G$132)</f>
        <v>1988</v>
      </c>
      <c r="G12" s="76">
        <f t="shared" si="1"/>
        <v>1988</v>
      </c>
      <c r="H12" s="76"/>
      <c r="I12" s="76">
        <f t="shared" si="2"/>
        <v>0</v>
      </c>
      <c r="J12" s="75">
        <f>VLOOKUP($B12,ЛСР!$B$6:$L$132,10,0)</f>
        <v>0</v>
      </c>
    </row>
    <row r="13" spans="1:10" s="77" customFormat="1" x14ac:dyDescent="0.2">
      <c r="A13" s="73">
        <f t="shared" si="0"/>
        <v>11</v>
      </c>
      <c r="B13" s="74" t="s">
        <v>147</v>
      </c>
      <c r="C13" s="75">
        <f>VLOOKUP($B13,ЛСР!$B$6:$L$132,2,0)</f>
        <v>0</v>
      </c>
      <c r="D13" s="75" t="str">
        <f>VLOOKUP($B13,ЛСР!$B$6:$L$132,3,0)</f>
        <v>по дереву 3,5х45</v>
      </c>
      <c r="E13" s="73" t="str">
        <f>VLOOKUP($B13,ЛСР!$B$6:$L$132,4,0)</f>
        <v>шт</v>
      </c>
      <c r="F13" s="76">
        <f>SUMIF(ЛСР!$B$6:$B$132,$B13,ЛСР!$G$6:$G$132)</f>
        <v>5950</v>
      </c>
      <c r="G13" s="76">
        <f t="shared" si="1"/>
        <v>5950</v>
      </c>
      <c r="H13" s="76"/>
      <c r="I13" s="76">
        <f t="shared" si="2"/>
        <v>0</v>
      </c>
      <c r="J13" s="75">
        <f>VLOOKUP($B13,ЛСР!$B$6:$L$132,10,0)</f>
        <v>0</v>
      </c>
    </row>
    <row r="14" spans="1:10" s="77" customFormat="1" x14ac:dyDescent="0.2">
      <c r="A14" s="73">
        <f t="shared" si="0"/>
        <v>12</v>
      </c>
      <c r="B14" s="74" t="s">
        <v>59</v>
      </c>
      <c r="C14" s="75">
        <f>VLOOKUP($B14,ЛСР!$B$6:$L$132,2,0)</f>
        <v>0</v>
      </c>
      <c r="D14" s="75" t="str">
        <f>VLOOKUP($B14,ЛСР!$B$6:$L$132,3,0)</f>
        <v>фр.10-20мм</v>
      </c>
      <c r="E14" s="73" t="str">
        <f>VLOOKUP($B14,ЛСР!$B$6:$L$132,4,0)</f>
        <v>м3</v>
      </c>
      <c r="F14" s="76">
        <f>SUMIF(ЛСР!$B$6:$B$132,$B14,ЛСР!$G$6:$G$132)</f>
        <v>95.6</v>
      </c>
      <c r="G14" s="76">
        <f t="shared" si="1"/>
        <v>95.6</v>
      </c>
      <c r="H14" s="76"/>
      <c r="I14" s="76">
        <f t="shared" si="2"/>
        <v>0</v>
      </c>
      <c r="J14" s="75">
        <f>VLOOKUP($B14,ЛСР!$B$6:$L$132,10,0)</f>
        <v>0</v>
      </c>
    </row>
    <row r="15" spans="1:10" s="77" customFormat="1" x14ac:dyDescent="0.2">
      <c r="A15" s="73">
        <f t="shared" si="0"/>
        <v>13</v>
      </c>
      <c r="B15" s="74" t="s">
        <v>62</v>
      </c>
      <c r="C15" s="75">
        <f>VLOOKUP($B15,ЛСР!$B$6:$L$132,2,0)</f>
        <v>0</v>
      </c>
      <c r="D15" s="75" t="str">
        <f>VLOOKUP($B15,ЛСР!$B$6:$L$132,3,0)</f>
        <v>цементно-песчаный М100</v>
      </c>
      <c r="E15" s="73" t="str">
        <f>VLOOKUP($B15,ЛСР!$B$6:$L$132,4,0)</f>
        <v>м3</v>
      </c>
      <c r="F15" s="76">
        <f>SUMIF(ЛСР!$B$6:$B$132,$B15,ЛСР!$G$6:$G$132)</f>
        <v>1.19</v>
      </c>
      <c r="G15" s="76">
        <f t="shared" si="1"/>
        <v>1.19</v>
      </c>
      <c r="H15" s="76"/>
      <c r="I15" s="76">
        <f t="shared" si="2"/>
        <v>0</v>
      </c>
      <c r="J15" s="75">
        <f>VLOOKUP($B15,ЛСР!$B$6:$L$132,10,0)</f>
        <v>0</v>
      </c>
    </row>
    <row r="16" spans="1:10" s="77" customFormat="1" ht="25.5" x14ac:dyDescent="0.2">
      <c r="A16" s="73">
        <f t="shared" si="0"/>
        <v>14</v>
      </c>
      <c r="B16" s="74" t="s">
        <v>148</v>
      </c>
      <c r="C16" s="75">
        <f>VLOOKUP($B16,ЛСР!$B$6:$L$132,2,0)</f>
        <v>0</v>
      </c>
      <c r="D16" s="75" t="str">
        <f>VLOOKUP($B16,ЛСР!$B$6:$L$132,3,0)</f>
        <v>для теплоизоляции с термоголовкой 10х160</v>
      </c>
      <c r="E16" s="73" t="str">
        <f>VLOOKUP($B16,ЛСР!$B$6:$L$132,4,0)</f>
        <v>шт</v>
      </c>
      <c r="F16" s="76">
        <f>SUMIF(ЛСР!$B$6:$B$132,$B16,ЛСР!$G$6:$G$132)</f>
        <v>2310</v>
      </c>
      <c r="G16" s="76">
        <f t="shared" si="1"/>
        <v>2310</v>
      </c>
      <c r="H16" s="76"/>
      <c r="I16" s="76">
        <f t="shared" si="2"/>
        <v>0</v>
      </c>
      <c r="J16" s="75">
        <f>VLOOKUP($B16,ЛСР!$B$6:$L$132,10,0)</f>
        <v>0</v>
      </c>
    </row>
    <row r="17" spans="1:10" s="77" customFormat="1" x14ac:dyDescent="0.2">
      <c r="A17" s="73">
        <f t="shared" si="0"/>
        <v>15</v>
      </c>
      <c r="B17" s="74" t="s">
        <v>149</v>
      </c>
      <c r="C17" s="75">
        <f>VLOOKUP($B17,ЛСР!$B$6:$L$132,2,0)</f>
        <v>0</v>
      </c>
      <c r="D17" s="75" t="str">
        <f>VLOOKUP($B17,ЛСР!$B$6:$L$132,3,0)</f>
        <v>100мм 130 кг/м3</v>
      </c>
      <c r="E17" s="73" t="str">
        <f>VLOOKUP($B17,ЛСР!$B$6:$L$132,4,0)</f>
        <v>м3</v>
      </c>
      <c r="F17" s="76">
        <f>SUMIF(ЛСР!$B$6:$B$132,$B17,ЛСР!$G$6:$G$132)</f>
        <v>35.159999999999997</v>
      </c>
      <c r="G17" s="76">
        <f t="shared" si="1"/>
        <v>35.159999999999997</v>
      </c>
      <c r="H17" s="76"/>
      <c r="I17" s="76">
        <f t="shared" si="2"/>
        <v>0</v>
      </c>
      <c r="J17" s="75">
        <f>VLOOKUP($B17,ЛСР!$B$6:$L$132,10,0)</f>
        <v>0</v>
      </c>
    </row>
    <row r="18" spans="1:10" s="77" customFormat="1" x14ac:dyDescent="0.2">
      <c r="A18" s="73">
        <f t="shared" si="0"/>
        <v>16</v>
      </c>
      <c r="B18" s="74" t="s">
        <v>150</v>
      </c>
      <c r="C18" s="75">
        <f>VLOOKUP($B18,ЛСР!$B$6:$L$132,2,0)</f>
        <v>0</v>
      </c>
      <c r="D18" s="75" t="str">
        <f>VLOOKUP($B18,ЛСР!$B$6:$L$132,3,0)</f>
        <v>алюминиевая 3000х32х3,0</v>
      </c>
      <c r="E18" s="73" t="str">
        <f>VLOOKUP($B18,ЛСР!$B$6:$L$132,4,0)</f>
        <v>пог. м</v>
      </c>
      <c r="F18" s="76">
        <f>SUMIF(ЛСР!$B$6:$B$132,$B18,ЛСР!$G$6:$G$132)</f>
        <v>105.21</v>
      </c>
      <c r="G18" s="76">
        <f t="shared" si="1"/>
        <v>105.21</v>
      </c>
      <c r="H18" s="76"/>
      <c r="I18" s="76">
        <f t="shared" si="2"/>
        <v>0</v>
      </c>
      <c r="J18" s="75">
        <f>VLOOKUP($B18,ЛСР!$B$6:$L$132,10,0)</f>
        <v>0</v>
      </c>
    </row>
    <row r="19" spans="1:10" s="77" customFormat="1" x14ac:dyDescent="0.2">
      <c r="A19" s="73">
        <f t="shared" si="0"/>
        <v>17</v>
      </c>
      <c r="B19" s="74" t="s">
        <v>151</v>
      </c>
      <c r="C19" s="75">
        <f>VLOOKUP($B19,ЛСР!$B$6:$L$132,2,0)</f>
        <v>0</v>
      </c>
      <c r="D19" s="75" t="str">
        <f>VLOOKUP($B19,ЛСР!$B$6:$L$132,3,0)</f>
        <v>полиуретановый</v>
      </c>
      <c r="E19" s="73" t="str">
        <f>VLOOKUP($B19,ЛСР!$B$6:$L$132,4,0)</f>
        <v>туб.</v>
      </c>
      <c r="F19" s="76">
        <f>SUMIF(ЛСР!$B$6:$B$132,$B19,ЛСР!$G$6:$G$132)</f>
        <v>5</v>
      </c>
      <c r="G19" s="76">
        <f t="shared" si="1"/>
        <v>5</v>
      </c>
      <c r="H19" s="76"/>
      <c r="I19" s="76">
        <f t="shared" si="2"/>
        <v>0</v>
      </c>
      <c r="J19" s="75">
        <f>VLOOKUP($B19,ЛСР!$B$6:$L$132,10,0)</f>
        <v>0</v>
      </c>
    </row>
    <row r="20" spans="1:10" s="77" customFormat="1" x14ac:dyDescent="0.2">
      <c r="A20" s="73">
        <f t="shared" si="0"/>
        <v>18</v>
      </c>
      <c r="B20" s="74" t="s">
        <v>152</v>
      </c>
      <c r="C20" s="75">
        <f>VLOOKUP($B20,ЛСР!$B$6:$L$132,2,0)</f>
        <v>0</v>
      </c>
      <c r="D20" s="75" t="str">
        <f>VLOOKUP($B20,ЛСР!$B$6:$L$132,3,0)</f>
        <v>6х40</v>
      </c>
      <c r="E20" s="73" t="str">
        <f>VLOOKUP($B20,ЛСР!$B$6:$L$132,4,0)</f>
        <v>шт</v>
      </c>
      <c r="F20" s="76">
        <f>SUMIF(ЛСР!$B$6:$B$132,$B20,ЛСР!$G$6:$G$132)</f>
        <v>916</v>
      </c>
      <c r="G20" s="76">
        <f t="shared" si="1"/>
        <v>916</v>
      </c>
      <c r="H20" s="76"/>
      <c r="I20" s="76">
        <f t="shared" si="2"/>
        <v>0</v>
      </c>
      <c r="J20" s="75">
        <f>VLOOKUP($B20,ЛСР!$B$6:$L$132,10,0)</f>
        <v>0</v>
      </c>
    </row>
    <row r="21" spans="1:10" s="77" customFormat="1" ht="25.5" x14ac:dyDescent="0.2">
      <c r="A21" s="73">
        <f t="shared" si="0"/>
        <v>19</v>
      </c>
      <c r="B21" s="74" t="s">
        <v>153</v>
      </c>
      <c r="C21" s="75">
        <f>VLOOKUP($B21,ЛСР!$B$6:$L$132,2,0)</f>
        <v>0</v>
      </c>
      <c r="D21" s="75" t="str">
        <f>VLOOKUP($B21,ЛСР!$B$6:$L$132,3,0)</f>
        <v>для теплоизоляции с термоголовкой 10х220</v>
      </c>
      <c r="E21" s="73" t="str">
        <f>VLOOKUP($B21,ЛСР!$B$6:$L$132,4,0)</f>
        <v>шт</v>
      </c>
      <c r="F21" s="76">
        <f>SUMIF(ЛСР!$B$6:$B$132,$B21,ЛСР!$G$6:$G$132)</f>
        <v>295</v>
      </c>
      <c r="G21" s="76">
        <f t="shared" si="1"/>
        <v>295</v>
      </c>
      <c r="H21" s="76"/>
      <c r="I21" s="76">
        <f t="shared" si="2"/>
        <v>0</v>
      </c>
      <c r="J21" s="75">
        <f>VLOOKUP($B21,ЛСР!$B$6:$L$132,10,0)</f>
        <v>0</v>
      </c>
    </row>
    <row r="22" spans="1:10" s="77" customFormat="1" x14ac:dyDescent="0.2">
      <c r="A22" s="73">
        <f t="shared" si="0"/>
        <v>20</v>
      </c>
      <c r="B22" s="74" t="s">
        <v>154</v>
      </c>
      <c r="C22" s="75">
        <f>VLOOKUP($B22,ЛСР!$B$6:$L$132,2,0)</f>
        <v>0</v>
      </c>
      <c r="D22" s="75" t="str">
        <f>VLOOKUP($B22,ЛСР!$B$6:$L$132,3,0)</f>
        <v>150мм 130 кг/м3</v>
      </c>
      <c r="E22" s="73" t="str">
        <f>VLOOKUP($B22,ЛСР!$B$6:$L$132,4,0)</f>
        <v>м3</v>
      </c>
      <c r="F22" s="76">
        <f>SUMIF(ЛСР!$B$6:$B$132,$B22,ЛСР!$G$6:$G$132)</f>
        <v>6.72</v>
      </c>
      <c r="G22" s="76">
        <f t="shared" si="1"/>
        <v>6.72</v>
      </c>
      <c r="H22" s="76"/>
      <c r="I22" s="76">
        <f t="shared" si="2"/>
        <v>0</v>
      </c>
      <c r="J22" s="75">
        <f>VLOOKUP($B22,ЛСР!$B$6:$L$132,10,0)</f>
        <v>0</v>
      </c>
    </row>
    <row r="23" spans="1:10" s="77" customFormat="1" x14ac:dyDescent="0.2">
      <c r="A23" s="73">
        <f t="shared" si="0"/>
        <v>21</v>
      </c>
      <c r="B23" s="74" t="s">
        <v>155</v>
      </c>
      <c r="C23" s="75">
        <f>VLOOKUP($B23,ЛСР!$B$6:$L$132,2,0)</f>
        <v>0</v>
      </c>
      <c r="D23" s="75" t="str">
        <f>VLOOKUP($B23,ЛСР!$B$6:$L$132,3,0)</f>
        <v>рамный металлический 10х202</v>
      </c>
      <c r="E23" s="73" t="str">
        <f>VLOOKUP($B23,ЛСР!$B$6:$L$132,4,0)</f>
        <v>шт</v>
      </c>
      <c r="F23" s="76">
        <f>SUMIF(ЛСР!$B$6:$B$132,$B23,ЛСР!$G$6:$G$132)</f>
        <v>120</v>
      </c>
      <c r="G23" s="76">
        <f t="shared" si="1"/>
        <v>120</v>
      </c>
      <c r="H23" s="76"/>
      <c r="I23" s="76">
        <f t="shared" si="2"/>
        <v>0</v>
      </c>
      <c r="J23" s="75">
        <f>VLOOKUP($B23,ЛСР!$B$6:$L$132,10,0)</f>
        <v>0</v>
      </c>
    </row>
    <row r="24" spans="1:10" s="77" customFormat="1" x14ac:dyDescent="0.2">
      <c r="A24" s="73">
        <f t="shared" si="0"/>
        <v>22</v>
      </c>
      <c r="B24" s="74" t="s">
        <v>156</v>
      </c>
      <c r="C24" s="75">
        <f>VLOOKUP($B24,ЛСР!$B$6:$L$132,2,0)</f>
        <v>0</v>
      </c>
      <c r="D24" s="75" t="str">
        <f>VLOOKUP($B24,ЛСР!$B$6:$L$132,3,0)</f>
        <v>рамный металлический 10х152</v>
      </c>
      <c r="E24" s="73" t="str">
        <f>VLOOKUP($B24,ЛСР!$B$6:$L$132,4,0)</f>
        <v>шт</v>
      </c>
      <c r="F24" s="76">
        <f>SUMIF(ЛСР!$B$6:$B$132,$B24,ЛСР!$G$6:$G$132)</f>
        <v>2500</v>
      </c>
      <c r="G24" s="76">
        <f t="shared" si="1"/>
        <v>2500</v>
      </c>
      <c r="H24" s="76"/>
      <c r="I24" s="76">
        <f t="shared" si="2"/>
        <v>0</v>
      </c>
      <c r="J24" s="75">
        <f>VLOOKUP($B24,ЛСР!$B$6:$L$132,10,0)</f>
        <v>0</v>
      </c>
    </row>
    <row r="25" spans="1:10" s="77" customFormat="1" x14ac:dyDescent="0.2">
      <c r="A25" s="73">
        <f t="shared" si="0"/>
        <v>23</v>
      </c>
      <c r="B25" s="74" t="s">
        <v>157</v>
      </c>
      <c r="C25" s="75">
        <f>VLOOKUP($B25,ЛСР!$B$6:$L$132,2,0)</f>
        <v>0</v>
      </c>
      <c r="D25" s="75" t="str">
        <f>VLOOKUP($B25,ЛСР!$B$6:$L$132,3,0)</f>
        <v>обрезная антисептированная 50х100х6000</v>
      </c>
      <c r="E25" s="73" t="str">
        <f>VLOOKUP($B25,ЛСР!$B$6:$L$132,4,0)</f>
        <v>м3</v>
      </c>
      <c r="F25" s="76">
        <f>SUMIF(ЛСР!$B$6:$B$132,$B25,ЛСР!$G$6:$G$132)</f>
        <v>3.93</v>
      </c>
      <c r="G25" s="76">
        <f t="shared" si="1"/>
        <v>3.93</v>
      </c>
      <c r="H25" s="76"/>
      <c r="I25" s="76">
        <f t="shared" si="2"/>
        <v>0</v>
      </c>
      <c r="J25" s="75">
        <f>VLOOKUP($B25,ЛСР!$B$6:$L$132,10,0)</f>
        <v>0</v>
      </c>
    </row>
    <row r="26" spans="1:10" s="77" customFormat="1" x14ac:dyDescent="0.2">
      <c r="A26" s="73">
        <f t="shared" si="0"/>
        <v>24</v>
      </c>
      <c r="B26" s="74" t="s">
        <v>158</v>
      </c>
      <c r="C26" s="75">
        <f>VLOOKUP($B26,ЛСР!$B$6:$L$132,2,0)</f>
        <v>0</v>
      </c>
      <c r="D26" s="75" t="str">
        <f>VLOOKUP($B26,ЛСР!$B$6:$L$132,3,0)</f>
        <v>обрезная антисептированная 50х150х6000</v>
      </c>
      <c r="E26" s="73" t="str">
        <f>VLOOKUP($B26,ЛСР!$B$6:$L$132,4,0)</f>
        <v>м3</v>
      </c>
      <c r="F26" s="76">
        <f>SUMIF(ЛСР!$B$6:$B$132,$B26,ЛСР!$G$6:$G$132)</f>
        <v>0.27</v>
      </c>
      <c r="G26" s="76">
        <f t="shared" si="1"/>
        <v>0.27</v>
      </c>
      <c r="H26" s="76"/>
      <c r="I26" s="76">
        <f t="shared" si="2"/>
        <v>0</v>
      </c>
      <c r="J26" s="75">
        <f>VLOOKUP($B26,ЛСР!$B$6:$L$132,10,0)</f>
        <v>0</v>
      </c>
    </row>
    <row r="27" spans="1:10" s="77" customFormat="1" x14ac:dyDescent="0.2">
      <c r="A27" s="73">
        <f t="shared" si="0"/>
        <v>25</v>
      </c>
      <c r="B27" s="74" t="s">
        <v>159</v>
      </c>
      <c r="C27" s="75">
        <f>VLOOKUP($B27,ЛСР!$B$6:$L$132,2,0)</f>
        <v>0</v>
      </c>
      <c r="D27" s="75" t="str">
        <f>VLOOKUP($B27,ЛСР!$B$6:$L$132,3,0)</f>
        <v>160х460мм</v>
      </c>
      <c r="E27" s="73" t="str">
        <f>VLOOKUP($B27,ЛСР!$B$6:$L$132,4,0)</f>
        <v>шт</v>
      </c>
      <c r="F27" s="76">
        <f>SUMIF(ЛСР!$B$6:$B$132,$B27,ЛСР!$G$6:$G$132)</f>
        <v>11</v>
      </c>
      <c r="G27" s="76">
        <f t="shared" si="1"/>
        <v>11</v>
      </c>
      <c r="H27" s="76"/>
      <c r="I27" s="76">
        <f t="shared" si="2"/>
        <v>0</v>
      </c>
      <c r="J27" s="75" t="str">
        <f>VLOOKUP($B27,ЛСР!$B$6:$L$132,10,0)</f>
        <v>Технониколь или анолог</v>
      </c>
    </row>
    <row r="28" spans="1:10" s="77" customFormat="1" ht="51" x14ac:dyDescent="0.2">
      <c r="A28" s="73">
        <f t="shared" si="0"/>
        <v>26</v>
      </c>
      <c r="B28" s="74" t="s">
        <v>160</v>
      </c>
      <c r="C28" s="75">
        <f>VLOOKUP($B28,ЛСР!$B$6:$L$132,2,0)</f>
        <v>0</v>
      </c>
      <c r="D28" s="75" t="str">
        <f>VLOOKUP($B28,ЛСР!$B$6:$L$132,3,0)</f>
        <v>DN-110</v>
      </c>
      <c r="E28" s="73" t="str">
        <f>VLOOKUP($B28,ЛСР!$B$6:$L$132,4,0)</f>
        <v>шт</v>
      </c>
      <c r="F28" s="76">
        <f>SUMIF(ЛСР!$B$6:$B$132,$B28,ЛСР!$G$6:$G$132)</f>
        <v>2</v>
      </c>
      <c r="G28" s="76">
        <f t="shared" si="1"/>
        <v>2</v>
      </c>
      <c r="H28" s="76"/>
      <c r="I28" s="76">
        <f t="shared" si="2"/>
        <v>0</v>
      </c>
      <c r="J28" s="75" t="str">
        <f>VLOOKUP($B28,ЛСР!$B$6:$L$132,10,0)</f>
        <v>С отводом и листвоуловителем ТП-01.П.ПП черная, на козырьки 2-го этажа</v>
      </c>
    </row>
    <row r="29" spans="1:10" s="77" customFormat="1" ht="76.5" x14ac:dyDescent="0.2">
      <c r="A29" s="73">
        <f t="shared" si="0"/>
        <v>27</v>
      </c>
      <c r="B29" s="74" t="s">
        <v>161</v>
      </c>
      <c r="C29" s="75" t="str">
        <f>VLOOKUP($B29,ЛСР!$B$6:$L$132,2,0)</f>
        <v>Татполимер</v>
      </c>
      <c r="D29" s="75" t="str">
        <f>VLOOKUP($B29,ЛСР!$B$6:$L$132,3,0)</f>
        <v>DN-110</v>
      </c>
      <c r="E29" s="73" t="str">
        <f>VLOOKUP($B29,ЛСР!$B$6:$L$132,4,0)</f>
        <v>шт</v>
      </c>
      <c r="F29" s="76">
        <f>SUMIF(ЛСР!$B$6:$B$132,$B29,ЛСР!$G$6:$G$132)</f>
        <v>4</v>
      </c>
      <c r="G29" s="76">
        <f t="shared" si="1"/>
        <v>4</v>
      </c>
      <c r="H29" s="76"/>
      <c r="I29" s="76">
        <f t="shared" si="2"/>
        <v>0</v>
      </c>
      <c r="J29" s="75" t="str">
        <f>VLOOKUP($B29,ЛСР!$B$6:$L$132,10,0)</f>
        <v>Воронка кровельная ТП 01.100/6-Э с обжимным фланцем и электрообогревом, на основную кровлю и на кровлю террас</v>
      </c>
    </row>
    <row r="30" spans="1:10" s="77" customFormat="1" ht="25.5" x14ac:dyDescent="0.2">
      <c r="A30" s="73">
        <f t="shared" si="0"/>
        <v>28</v>
      </c>
      <c r="B30" s="74" t="s">
        <v>162</v>
      </c>
      <c r="C30" s="75">
        <f>VLOOKUP($B30,ЛСР!$B$6:$L$132,2,0)</f>
        <v>0</v>
      </c>
      <c r="D30" s="75" t="str">
        <f>VLOOKUP($B30,ЛСР!$B$6:$L$132,3,0)</f>
        <v>распорный полипропилен 6х120</v>
      </c>
      <c r="E30" s="73" t="str">
        <f>VLOOKUP($B30,ЛСР!$B$6:$L$132,4,0)</f>
        <v>шт</v>
      </c>
      <c r="F30" s="76">
        <f>SUMIF(ЛСР!$B$6:$B$132,$B30,ЛСР!$G$6:$G$132)</f>
        <v>608</v>
      </c>
      <c r="G30" s="76">
        <f t="shared" si="1"/>
        <v>608</v>
      </c>
      <c r="H30" s="76"/>
      <c r="I30" s="76">
        <f t="shared" si="2"/>
        <v>0</v>
      </c>
      <c r="J30" s="75" t="str">
        <f>VLOOKUP($B30,ЛСР!$B$6:$L$132,10,0)</f>
        <v>Крепление с шагом в 200мм</v>
      </c>
    </row>
    <row r="31" spans="1:10" s="77" customFormat="1" ht="25.5" x14ac:dyDescent="0.2">
      <c r="A31" s="73">
        <f t="shared" si="0"/>
        <v>29</v>
      </c>
      <c r="B31" s="74" t="s">
        <v>165</v>
      </c>
      <c r="C31" s="75" t="str">
        <f>VLOOKUP($B31,ЛСР!$B$6:$L$132,2,0)</f>
        <v>Soudaseal 240 FC, Soudal</v>
      </c>
      <c r="D31" s="75" t="str">
        <f>VLOOKUP($B31,ЛСР!$B$6:$L$132,3,0)</f>
        <v>гибридный полимерный</v>
      </c>
      <c r="E31" s="73" t="str">
        <f>VLOOKUP($B31,ЛСР!$B$6:$L$132,4,0)</f>
        <v>туб.</v>
      </c>
      <c r="F31" s="76">
        <f>SUMIF(ЛСР!$B$6:$B$132,$B31,ЛСР!$G$6:$G$132)</f>
        <v>27</v>
      </c>
      <c r="G31" s="76">
        <f t="shared" si="1"/>
        <v>27</v>
      </c>
      <c r="H31" s="76"/>
      <c r="I31" s="76">
        <f t="shared" si="2"/>
        <v>0</v>
      </c>
      <c r="J31" s="75" t="str">
        <f>VLOOKUP($B31,ЛСР!$B$6:$L$132,10,0)</f>
        <v>Soudaseal 240 FC (герметизация стыков)</v>
      </c>
    </row>
    <row r="32" spans="1:10" s="77" customFormat="1" x14ac:dyDescent="0.2">
      <c r="A32" s="73">
        <f t="shared" si="0"/>
        <v>30</v>
      </c>
      <c r="B32" s="74" t="s">
        <v>166</v>
      </c>
      <c r="C32" s="75">
        <f>VLOOKUP($B32,ЛСР!$B$6:$L$132,2,0)</f>
        <v>0</v>
      </c>
      <c r="D32" s="75" t="str">
        <f>VLOOKUP($B32,ЛСР!$B$6:$L$132,3,0)</f>
        <v>кровельные 4,8х120</v>
      </c>
      <c r="E32" s="73" t="str">
        <f>VLOOKUP($B32,ЛСР!$B$6:$L$132,4,0)</f>
        <v>шт</v>
      </c>
      <c r="F32" s="76">
        <f>SUMIF(ЛСР!$B$6:$B$132,$B32,ЛСР!$G$6:$G$132)</f>
        <v>608</v>
      </c>
      <c r="G32" s="76">
        <f t="shared" si="1"/>
        <v>608</v>
      </c>
      <c r="H32" s="76"/>
      <c r="I32" s="76">
        <f t="shared" si="2"/>
        <v>0</v>
      </c>
      <c r="J32" s="75">
        <f>VLOOKUP($B32,ЛСР!$B$6:$L$132,10,0)</f>
        <v>0</v>
      </c>
    </row>
    <row r="33" spans="1:10" s="77" customFormat="1" ht="76.5" x14ac:dyDescent="0.2">
      <c r="A33" s="73">
        <f t="shared" si="0"/>
        <v>31</v>
      </c>
      <c r="B33" s="74" t="s">
        <v>163</v>
      </c>
      <c r="C33" s="75">
        <f>VLOOKUP($B33,ЛСР!$B$6:$L$132,2,0)</f>
        <v>0</v>
      </c>
      <c r="D33" s="75" t="str">
        <f>VLOOKUP($B33,ЛСР!$B$6:$L$132,3,0)</f>
        <v>оцинк.сталь 560мм 0,7мм RAL9004</v>
      </c>
      <c r="E33" s="73" t="str">
        <f>VLOOKUP($B33,ЛСР!$B$6:$L$132,4,0)</f>
        <v>пог. м</v>
      </c>
      <c r="F33" s="76">
        <f>SUMIF(ЛСР!$B$6:$B$132,$B33,ЛСР!$G$6:$G$132)</f>
        <v>110.15</v>
      </c>
      <c r="G33" s="76">
        <f t="shared" si="1"/>
        <v>110.15</v>
      </c>
      <c r="H33" s="76"/>
      <c r="I33" s="76">
        <f t="shared" si="2"/>
        <v>0</v>
      </c>
      <c r="J33" s="75" t="str">
        <f>VLOOKUP($B33,ЛСР!$B$6:$L$132,10,0)</f>
        <v>Ширина развертки - 20х50х90х560х120х50х20 мм.
10см перехлест,  2м длина профиля. Размеры уточнить по месту. Основная кровля.</v>
      </c>
    </row>
    <row r="34" spans="1:10" s="77" customFormat="1" ht="76.5" x14ac:dyDescent="0.2">
      <c r="A34" s="73">
        <f t="shared" si="0"/>
        <v>32</v>
      </c>
      <c r="B34" s="74" t="s">
        <v>164</v>
      </c>
      <c r="C34" s="75">
        <f>VLOOKUP($B34,ЛСР!$B$6:$L$132,2,0)</f>
        <v>0</v>
      </c>
      <c r="D34" s="75" t="str">
        <f>VLOOKUP($B34,ЛСР!$B$6:$L$132,3,0)</f>
        <v>оцинк.сталь 460мм 0,7мм RAL9004</v>
      </c>
      <c r="E34" s="73" t="str">
        <f>VLOOKUP($B34,ЛСР!$B$6:$L$132,4,0)</f>
        <v>пог. м</v>
      </c>
      <c r="F34" s="76">
        <f>SUMIF(ЛСР!$B$6:$B$132,$B34,ЛСР!$G$6:$G$132)</f>
        <v>17.23</v>
      </c>
      <c r="G34" s="76">
        <f t="shared" si="1"/>
        <v>17.23</v>
      </c>
      <c r="H34" s="76"/>
      <c r="I34" s="76">
        <f t="shared" si="2"/>
        <v>0</v>
      </c>
      <c r="J34" s="75" t="str">
        <f>VLOOKUP($B34,ЛСР!$B$6:$L$132,10,0)</f>
        <v>Ширина развертки - 20х50х90х460х120х50х20 мм.
10см перехлест,  2м длина профиля. Размеры уточнить по месту. Терассы.</v>
      </c>
    </row>
    <row r="35" spans="1:10" x14ac:dyDescent="0.2">
      <c r="H35" s="78" t="s">
        <v>173</v>
      </c>
      <c r="I35" s="79">
        <f>SUM(I3:I34)</f>
        <v>0</v>
      </c>
    </row>
    <row r="36" spans="1:10" x14ac:dyDescent="0.2">
      <c r="H36" s="78" t="s">
        <v>174</v>
      </c>
      <c r="I36" s="79">
        <f>I35-ЛСР!J135</f>
        <v>0</v>
      </c>
    </row>
    <row r="37" spans="1:10" x14ac:dyDescent="0.2">
      <c r="I37" s="80"/>
    </row>
    <row r="39" spans="1:10" ht="13.5" x14ac:dyDescent="0.2">
      <c r="A39" s="81"/>
      <c r="B39" s="82"/>
      <c r="C39" s="81"/>
      <c r="D39" s="81"/>
      <c r="E39" s="81"/>
      <c r="F39" s="81"/>
      <c r="G39" s="81"/>
      <c r="H39" s="81"/>
      <c r="I39" s="83"/>
      <c r="J39" s="81"/>
    </row>
    <row r="40" spans="1:10" x14ac:dyDescent="0.2">
      <c r="A40" s="84"/>
      <c r="B40" s="85"/>
      <c r="C40" s="85"/>
      <c r="D40" s="85"/>
      <c r="E40" s="85"/>
      <c r="F40" s="85"/>
      <c r="G40" s="85"/>
      <c r="H40" s="85"/>
      <c r="I40" s="85"/>
      <c r="J40" s="85"/>
    </row>
    <row r="41" spans="1:10" x14ac:dyDescent="0.2">
      <c r="A41" s="86"/>
      <c r="B41" s="112"/>
      <c r="C41" s="112"/>
      <c r="D41" s="112"/>
      <c r="E41" s="112"/>
      <c r="F41" s="112"/>
      <c r="G41" s="112"/>
      <c r="H41" s="112"/>
      <c r="I41" s="112"/>
      <c r="J41" s="112"/>
    </row>
    <row r="42" spans="1:10" x14ac:dyDescent="0.2">
      <c r="A42" s="84"/>
      <c r="B42" s="87"/>
      <c r="C42" s="88"/>
      <c r="D42" s="88"/>
      <c r="E42" s="88"/>
      <c r="F42" s="88"/>
      <c r="G42" s="88"/>
      <c r="H42" s="88"/>
      <c r="I42" s="88"/>
      <c r="J42" s="88"/>
    </row>
    <row r="43" spans="1:10" x14ac:dyDescent="0.2">
      <c r="A43" s="84"/>
      <c r="B43" s="89"/>
    </row>
  </sheetData>
  <mergeCells count="1">
    <mergeCell ref="B41:J41"/>
  </mergeCells>
  <conditionalFormatting sqref="B44">
    <cfRule type="duplicateValues" dxfId="4" priority="2"/>
    <cfRule type="duplicateValues" dxfId="3" priority="3"/>
  </conditionalFormatting>
  <conditionalFormatting sqref="B45:B1048576 B1:B38">
    <cfRule type="duplicateValues" dxfId="2" priority="4"/>
  </conditionalFormatting>
  <conditionalFormatting sqref="B45:B1048576 B1:B42">
    <cfRule type="duplicateValues" dxfId="1" priority="5"/>
  </conditionalFormatting>
  <conditionalFormatting sqref="C3:D34 J3:J34">
    <cfRule type="cellIs" dxfId="0" priority="1" operator="equal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133</v>
      </c>
      <c r="B1" s="1" t="s">
        <v>134</v>
      </c>
    </row>
    <row r="2" spans="1:2" ht="11.1" customHeight="1" x14ac:dyDescent="0.2">
      <c r="A2" s="1" t="s">
        <v>135</v>
      </c>
      <c r="B2" s="1" t="s">
        <v>136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2026-05-07T03:42:42Z</dcterms:modified>
</cp:coreProperties>
</file>