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ЖК Прео\ПРЕО 8\04. Кровля\"/>
    </mc:Choice>
  </mc:AlternateContent>
  <xr:revisionPtr revIDLastSave="0" documentId="13_ncr:1_{BF61D495-99D9-4AFC-B356-850EDFB7F32B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externalReferences>
    <externalReference r:id="rId5"/>
  </externalReferences>
  <definedNames>
    <definedName name="_xlnm._FilterDatabase" localSheetId="2" hidden="1">Материалы!$A$2:$J$22</definedName>
  </definedNames>
  <calcPr calcId="191029" refMode="R1C1"/>
</workbook>
</file>

<file path=xl/calcChain.xml><?xml version="1.0" encoding="utf-8"?>
<calcChain xmlns="http://schemas.openxmlformats.org/spreadsheetml/2006/main">
  <c r="J4" i="3" l="1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I3" i="3"/>
  <c r="I21" i="3" s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4" i="3"/>
  <c r="E4" i="3"/>
  <c r="F4" i="3"/>
  <c r="E5" i="3"/>
  <c r="F5" i="3"/>
  <c r="E6" i="3"/>
  <c r="F6" i="3"/>
  <c r="G6" i="3" s="1"/>
  <c r="E7" i="3"/>
  <c r="F7" i="3"/>
  <c r="E8" i="3"/>
  <c r="F8" i="3"/>
  <c r="E9" i="3"/>
  <c r="F9" i="3"/>
  <c r="G9" i="3" s="1"/>
  <c r="E10" i="3"/>
  <c r="F10" i="3"/>
  <c r="E11" i="3"/>
  <c r="F11" i="3"/>
  <c r="G11" i="3" s="1"/>
  <c r="E12" i="3"/>
  <c r="F12" i="3"/>
  <c r="G12" i="3" s="1"/>
  <c r="E13" i="3"/>
  <c r="F13" i="3"/>
  <c r="G13" i="3" s="1"/>
  <c r="E14" i="3"/>
  <c r="F14" i="3"/>
  <c r="G14" i="3" s="1"/>
  <c r="E15" i="3"/>
  <c r="F15" i="3"/>
  <c r="G15" i="3" s="1"/>
  <c r="E16" i="3"/>
  <c r="F16" i="3"/>
  <c r="G16" i="3" s="1"/>
  <c r="E17" i="3"/>
  <c r="F17" i="3"/>
  <c r="G17" i="3" s="1"/>
  <c r="E18" i="3"/>
  <c r="F18" i="3"/>
  <c r="G18" i="3" s="1"/>
  <c r="E19" i="3"/>
  <c r="F19" i="3"/>
  <c r="G19" i="3" s="1"/>
  <c r="E20" i="3"/>
  <c r="F20" i="3"/>
  <c r="G20" i="3" s="1"/>
  <c r="F3" i="3"/>
  <c r="E3" i="3"/>
  <c r="C4" i="3"/>
  <c r="D4" i="3"/>
  <c r="C5" i="3"/>
  <c r="D5" i="3"/>
  <c r="C6" i="3"/>
  <c r="D6" i="3"/>
  <c r="C7" i="3"/>
  <c r="D7" i="3"/>
  <c r="C8" i="3"/>
  <c r="D8" i="3"/>
  <c r="C9" i="3"/>
  <c r="D9" i="3"/>
  <c r="C10" i="3"/>
  <c r="D10" i="3"/>
  <c r="C11" i="3"/>
  <c r="D11" i="3"/>
  <c r="C12" i="3"/>
  <c r="D12" i="3"/>
  <c r="C13" i="3"/>
  <c r="D13" i="3"/>
  <c r="C14" i="3"/>
  <c r="D14" i="3"/>
  <c r="C15" i="3"/>
  <c r="D15" i="3"/>
  <c r="C16" i="3"/>
  <c r="D16" i="3"/>
  <c r="C17" i="3"/>
  <c r="D17" i="3"/>
  <c r="C18" i="3"/>
  <c r="D18" i="3"/>
  <c r="C19" i="3"/>
  <c r="D19" i="3"/>
  <c r="C20" i="3"/>
  <c r="D20" i="3"/>
  <c r="D3" i="3"/>
  <c r="C3" i="3"/>
  <c r="I80" i="1"/>
  <c r="I79" i="1"/>
  <c r="I75" i="1"/>
  <c r="I74" i="1"/>
  <c r="I73" i="1"/>
  <c r="I69" i="1"/>
  <c r="I68" i="1"/>
  <c r="I64" i="1"/>
  <c r="I63" i="1"/>
  <c r="I62" i="1"/>
  <c r="I61" i="1"/>
  <c r="I57" i="1"/>
  <c r="I53" i="1"/>
  <c r="I52" i="1"/>
  <c r="I51" i="1"/>
  <c r="I45" i="1"/>
  <c r="I41" i="1"/>
  <c r="I37" i="1"/>
  <c r="I36" i="1"/>
  <c r="I35" i="1"/>
  <c r="I31" i="1"/>
  <c r="I30" i="1"/>
  <c r="I29" i="1"/>
  <c r="I25" i="1"/>
  <c r="I24" i="1"/>
  <c r="I20" i="1"/>
  <c r="I19" i="1"/>
  <c r="I15" i="1"/>
  <c r="A20" i="3"/>
  <c r="A19" i="3"/>
  <c r="A18" i="3"/>
  <c r="A17" i="3"/>
  <c r="A16" i="3"/>
  <c r="A15" i="3"/>
  <c r="A14" i="3"/>
  <c r="A13" i="3"/>
  <c r="A12" i="3"/>
  <c r="A11" i="3"/>
  <c r="G10" i="3"/>
  <c r="A10" i="3"/>
  <c r="A9" i="3"/>
  <c r="G8" i="3"/>
  <c r="A8" i="3"/>
  <c r="G7" i="3"/>
  <c r="A7" i="3"/>
  <c r="A6" i="3"/>
  <c r="G5" i="3"/>
  <c r="A5" i="3"/>
  <c r="G4" i="3"/>
  <c r="A4" i="3"/>
  <c r="J3" i="3"/>
  <c r="G3" i="3"/>
  <c r="A3" i="3"/>
  <c r="G35" i="1" l="1"/>
  <c r="G62" i="1"/>
  <c r="H62" i="1" s="1"/>
  <c r="H13" i="1"/>
  <c r="I13" i="1" a="1"/>
  <c r="I13" i="1" s="1"/>
  <c r="J13" i="1" s="1"/>
  <c r="J12" i="1" s="1"/>
  <c r="H15" i="1"/>
  <c r="H17" i="1"/>
  <c r="I17" i="1" a="1"/>
  <c r="I17" i="1" s="1"/>
  <c r="J17" i="1" s="1"/>
  <c r="J16" i="1" s="1"/>
  <c r="H19" i="1"/>
  <c r="H20" i="1"/>
  <c r="J20" i="1"/>
  <c r="H22" i="1"/>
  <c r="I22" i="1" a="1"/>
  <c r="I22" i="1" s="1"/>
  <c r="H24" i="1"/>
  <c r="H25" i="1"/>
  <c r="J25" i="1"/>
  <c r="H27" i="1"/>
  <c r="I27" i="1" a="1"/>
  <c r="I27" i="1" s="1"/>
  <c r="H29" i="1"/>
  <c r="H30" i="1"/>
  <c r="J30" i="1"/>
  <c r="H31" i="1"/>
  <c r="J31" i="1"/>
  <c r="H33" i="1"/>
  <c r="I33" i="1" a="1"/>
  <c r="I33" i="1" s="1"/>
  <c r="H35" i="1"/>
  <c r="H36" i="1"/>
  <c r="J36" i="1"/>
  <c r="H37" i="1"/>
  <c r="J37" i="1"/>
  <c r="H39" i="1"/>
  <c r="I39" i="1" a="1"/>
  <c r="I39" i="1" s="1"/>
  <c r="J39" i="1" s="1"/>
  <c r="J38" i="1" s="1"/>
  <c r="H41" i="1"/>
  <c r="J41" i="1"/>
  <c r="J40" i="1" s="1"/>
  <c r="H43" i="1"/>
  <c r="I43" i="1" a="1"/>
  <c r="I43" i="1" s="1"/>
  <c r="J43" i="1" s="1"/>
  <c r="J42" i="1" s="1"/>
  <c r="H45" i="1"/>
  <c r="J45" i="1"/>
  <c r="J44" i="1" s="1"/>
  <c r="H49" i="1"/>
  <c r="I49" i="1" a="1"/>
  <c r="I49" i="1" s="1"/>
  <c r="J49" i="1" s="1"/>
  <c r="J48" i="1" s="1"/>
  <c r="H51" i="1"/>
  <c r="J51" i="1"/>
  <c r="H52" i="1"/>
  <c r="J52" i="1"/>
  <c r="H53" i="1"/>
  <c r="J53" i="1"/>
  <c r="H55" i="1"/>
  <c r="I55" i="1" a="1"/>
  <c r="I55" i="1" s="1"/>
  <c r="J55" i="1" s="1"/>
  <c r="J54" i="1" s="1"/>
  <c r="H57" i="1"/>
  <c r="J57" i="1"/>
  <c r="J56" i="1" s="1"/>
  <c r="H59" i="1"/>
  <c r="I59" i="1" a="1"/>
  <c r="I59" i="1" s="1"/>
  <c r="J59" i="1" s="1"/>
  <c r="J58" i="1" s="1"/>
  <c r="H61" i="1"/>
  <c r="J61" i="1"/>
  <c r="H63" i="1"/>
  <c r="J63" i="1"/>
  <c r="H64" i="1"/>
  <c r="H66" i="1"/>
  <c r="I66" i="1" a="1"/>
  <c r="I66" i="1" s="1"/>
  <c r="H68" i="1"/>
  <c r="H69" i="1"/>
  <c r="H71" i="1"/>
  <c r="I71" i="1" a="1"/>
  <c r="I71" i="1" s="1"/>
  <c r="J71" i="1" s="1"/>
  <c r="J70" i="1" s="1"/>
  <c r="H73" i="1"/>
  <c r="J73" i="1"/>
  <c r="H74" i="1"/>
  <c r="J74" i="1"/>
  <c r="H75" i="1"/>
  <c r="J75" i="1"/>
  <c r="H77" i="1"/>
  <c r="I77" i="1" a="1"/>
  <c r="I77" i="1" s="1"/>
  <c r="J77" i="1" s="1"/>
  <c r="J76" i="1" s="1"/>
  <c r="H79" i="1"/>
  <c r="J79" i="1"/>
  <c r="H80" i="1"/>
  <c r="J80" i="1"/>
  <c r="E15" i="2"/>
  <c r="E14" i="2"/>
  <c r="E13" i="2"/>
  <c r="E12" i="2"/>
  <c r="E11" i="2"/>
  <c r="E10" i="2"/>
  <c r="E9" i="2"/>
  <c r="E8" i="2"/>
  <c r="E7" i="2"/>
  <c r="E6" i="2"/>
  <c r="E5" i="2"/>
  <c r="E4" i="2"/>
  <c r="J78" i="1" l="1"/>
  <c r="J69" i="1"/>
  <c r="J64" i="1"/>
  <c r="J35" i="1"/>
  <c r="J34" i="1" s="1"/>
  <c r="E16" i="2"/>
  <c r="J22" i="1"/>
  <c r="J21" i="1" s="1"/>
  <c r="J27" i="1"/>
  <c r="J26" i="1" s="1"/>
  <c r="J33" i="1"/>
  <c r="J32" i="1" s="1"/>
  <c r="J66" i="1"/>
  <c r="J65" i="1" s="1"/>
  <c r="J82" i="1" s="1"/>
  <c r="J19" i="1"/>
  <c r="J18" i="1" s="1"/>
  <c r="J68" i="1"/>
  <c r="J62" i="1"/>
  <c r="J60" i="1" s="1"/>
  <c r="J72" i="1"/>
  <c r="J24" i="1"/>
  <c r="J23" i="1" s="1"/>
  <c r="J29" i="1"/>
  <c r="J28" i="1" s="1"/>
  <c r="J15" i="1"/>
  <c r="J14" i="1" s="1"/>
  <c r="J50" i="1"/>
  <c r="E17" i="2" l="1"/>
  <c r="J67" i="1"/>
  <c r="J47" i="1" s="1"/>
  <c r="J46" i="1" s="1"/>
  <c r="J11" i="1"/>
  <c r="J10" i="1" s="1"/>
  <c r="J83" i="1"/>
  <c r="I22" i="3" s="1"/>
  <c r="J9" i="1" l="1"/>
  <c r="J81" i="1" s="1"/>
</calcChain>
</file>

<file path=xl/sharedStrings.xml><?xml version="1.0" encoding="utf-8"?>
<sst xmlns="http://schemas.openxmlformats.org/spreadsheetml/2006/main" count="315" uniqueCount="119">
  <si>
    <t>Объект: «Жилой район «Преображенский» в г. Тюмени. Квартал 8. Участок 72:17:1313004:1005. Многоэтажный жилой дом с нежилыми помещениями ГП-72.215» Секция 1</t>
  </si>
  <si>
    <t>Ведомость объемов работ и расхода материалов по работе: Устройство террасы (в т.ч. ограждения) и сопутствующим работам (согласно проекту шифр 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</si>
  <si>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</si>
  <si>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</si>
  <si>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</si>
  <si>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</si>
  <si>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</si>
  <si>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</si>
  <si>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</si>
  <si>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</si>
  <si>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</si>
  <si>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</si>
  <si>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</si>
  <si>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</si>
  <si>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04</t>
  </si>
  <si>
    <t>Кровля</t>
  </si>
  <si>
    <t>04.02</t>
  </si>
  <si>
    <t>Устройство террасы (в т.ч. ограждения)</t>
  </si>
  <si>
    <t>04.02.01</t>
  </si>
  <si>
    <t>Устройство террасы</t>
  </si>
  <si>
    <t>04.02.01.00</t>
  </si>
  <si>
    <t>Работы:</t>
  </si>
  <si>
    <t>Нанесение битумного праймера под гидроизоляцию</t>
  </si>
  <si>
    <t>м2</t>
  </si>
  <si>
    <t>в т.ч. в местах примыкания</t>
  </si>
  <si>
    <t>Материалы:</t>
  </si>
  <si>
    <t>1</t>
  </si>
  <si>
    <t>№01, Технониколь</t>
  </si>
  <si>
    <t>битумный</t>
  </si>
  <si>
    <t>л (дм3)</t>
  </si>
  <si>
    <t>Технониколь №01</t>
  </si>
  <si>
    <t>Укладка пароизоляции по подготовленному основанию насухо (с проклейкой швов)</t>
  </si>
  <si>
    <t>Пленка строительная</t>
  </si>
  <si>
    <t>гидропароизоляционная</t>
  </si>
  <si>
    <t>Изоспан D</t>
  </si>
  <si>
    <t>2</t>
  </si>
  <si>
    <t>KL+, Изоспан</t>
  </si>
  <si>
    <t>усиленная двухсторонняя 25мм,25м</t>
  </si>
  <si>
    <t>шт</t>
  </si>
  <si>
    <t xml:space="preserve"> Лента Изоспан KL+</t>
  </si>
  <si>
    <t>Укладка утеплителя</t>
  </si>
  <si>
    <t>экструзионный 1180х580х100мм 35кг/м3</t>
  </si>
  <si>
    <t>м3</t>
  </si>
  <si>
    <t>В два слоя</t>
  </si>
  <si>
    <t>противопожарная</t>
  </si>
  <si>
    <t>баллон</t>
  </si>
  <si>
    <t>Устройство кровель плоских из наплавляемых материалов в 2 слоя</t>
  </si>
  <si>
    <t>ЭКП 10х1м</t>
  </si>
  <si>
    <t>ЭПП 10х1м</t>
  </si>
  <si>
    <t>3</t>
  </si>
  <si>
    <t>Газ-пропан</t>
  </si>
  <si>
    <t>Устройство стяжек сборных из плоских асбестоцементных листов плоских (2слоя)</t>
  </si>
  <si>
    <t>ЛП-П 10мм</t>
  </si>
  <si>
    <t>10мм двойной гнутый для плоского шифера</t>
  </si>
  <si>
    <t>по дереву 3,5х45</t>
  </si>
  <si>
    <t>Устройство уклонообразующего слоя из керамзита с разуклонкой</t>
  </si>
  <si>
    <t>толщ.50-150мм</t>
  </si>
  <si>
    <t>Керамзит</t>
  </si>
  <si>
    <t>фр.10-20мм</t>
  </si>
  <si>
    <t>Утепление парапетов</t>
  </si>
  <si>
    <t>на высоту 1,2 м</t>
  </si>
  <si>
    <t>100мм 130 кг/м3</t>
  </si>
  <si>
    <t>04.02.02</t>
  </si>
  <si>
    <t>Устройство примыканий кровли</t>
  </si>
  <si>
    <t>04.02.02.00</t>
  </si>
  <si>
    <t>Монтаж краевой рейки в примыканию к парапету с герметизацией по верху</t>
  </si>
  <si>
    <t>пог. м</t>
  </si>
  <si>
    <t>алюминиевая 3000х32х3,0</t>
  </si>
  <si>
    <t>полиуретановый</t>
  </si>
  <si>
    <t>туб.</t>
  </si>
  <si>
    <t>6х40</t>
  </si>
  <si>
    <t>Обшивка асбестоцементными листами</t>
  </si>
  <si>
    <t>кирпичных стенок примыкания</t>
  </si>
  <si>
    <t>рамный металлический 10х152</t>
  </si>
  <si>
    <t>в 2 слоя</t>
  </si>
  <si>
    <t>обрезная антисептированная 50х100х6000</t>
  </si>
  <si>
    <t>4</t>
  </si>
  <si>
    <t>Устройство галтели в примыканиях из асбестоцементных листов</t>
  </si>
  <si>
    <t>шаг 300мм, примыкание только к парапету</t>
  </si>
  <si>
    <t>Устройство примыканий водоизоляционного слоя и оклеечная гидроизоляция (2 слоя)</t>
  </si>
  <si>
    <t>ГЭСН 12-01-002-09</t>
  </si>
  <si>
    <t>Устройство примыканий пароизоляционного слоя к вертикальным конструкциям</t>
  </si>
  <si>
    <t>на высоту 250 мм</t>
  </si>
  <si>
    <t>Изоспан KL+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</si>
  <si>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</si>
  <si>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</si>
  <si>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</si>
  <si>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</si>
  <si>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</si>
  <si>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Закупка подрядчик</t>
  </si>
  <si>
    <t>ЛСР</t>
  </si>
  <si>
    <t>ЛСРГуид</t>
  </si>
  <si>
    <t>ГП-72.215.01.04.02 Секция 1_Устройство террасы (в т.ч. ограждения) №1</t>
  </si>
  <si>
    <t>c4e7f7d5-3d85-11f1-9618-db392af1e994</t>
  </si>
  <si>
    <t>Итог</t>
  </si>
  <si>
    <t>Локальный сметный расчет (ЛСР) №2</t>
  </si>
  <si>
    <t>Итого:</t>
  </si>
  <si>
    <t>Проверка:</t>
  </si>
  <si>
    <t>Праймер битумный</t>
  </si>
  <si>
    <t>Лента клейкая усиленная двухсторонняя 25мм,25м</t>
  </si>
  <si>
    <t>Пенополистирол экструзионный 1180х580х100мм 35кг/м3</t>
  </si>
  <si>
    <t>Пена монтажная противопожарная</t>
  </si>
  <si>
    <t>Унифлекс ЭКП 10х1м</t>
  </si>
  <si>
    <t>Унифлекс ЭПП 10х1м</t>
  </si>
  <si>
    <t>Лист асбестоцементный ЛП-П 10мм</t>
  </si>
  <si>
    <t>Кляймер 10мм двойной гнутый для плоского шифера</t>
  </si>
  <si>
    <t>Саморезы по дереву 3,5х45</t>
  </si>
  <si>
    <t>Плита минераловатная 100мм 130 кг/м3</t>
  </si>
  <si>
    <t>Рейка краевая алюминиевая 3000х32х3,0</t>
  </si>
  <si>
    <t>Герметик полиуретановый</t>
  </si>
  <si>
    <t>Дюбель-гвоздь 6х40</t>
  </si>
  <si>
    <t>Дюбель рамный металлический 10х152</t>
  </si>
  <si>
    <t>Доска обрезная антисептированная 50х100х6000</t>
  </si>
  <si>
    <t>Спецификация материалов</t>
  </si>
  <si>
    <t>Марка/ Завод изготовитель</t>
  </si>
  <si>
    <t>секция 1</t>
  </si>
  <si>
    <t>Кол-во</t>
  </si>
  <si>
    <t>Цена за ед.</t>
  </si>
  <si>
    <t>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</si>
</sst>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"/>
    <numFmt numFmtId="165" formatCode="0.0"/>
  </numFmts>
  <fonts count="13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  <charset val="204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u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6" fillId="8" borderId="0" applyNumberFormat="0" applyBorder="0" applyAlignment="0" applyProtection="0"/>
    <xf numFmtId="0" fontId="1" fillId="0" borderId="0"/>
    <xf numFmtId="43" fontId="5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2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65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2" borderId="5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0" fillId="4" borderId="5" xfId="0" applyFill="1" applyBorder="1" applyAlignment="1">
      <alignment horizontal="left" vertical="center"/>
    </xf>
    <xf numFmtId="0" fontId="0" fillId="5" borderId="5" xfId="0" applyFill="1" applyBorder="1" applyAlignment="1">
      <alignment horizontal="left" vertical="center" wrapText="1"/>
    </xf>
    <xf numFmtId="0" fontId="0" fillId="6" borderId="5" xfId="0" applyFill="1" applyBorder="1" applyAlignment="1">
      <alignment horizontal="left" vertical="center"/>
    </xf>
    <xf numFmtId="0" fontId="0" fillId="6" borderId="6" xfId="0" applyFill="1" applyBorder="1" applyAlignment="1">
      <alignment horizontal="left" vertical="center"/>
    </xf>
    <xf numFmtId="0" fontId="3" fillId="6" borderId="7" xfId="0" applyFont="1" applyFill="1" applyBorder="1" applyAlignment="1">
      <alignment horizontal="right" vertical="center"/>
    </xf>
    <xf numFmtId="0" fontId="0" fillId="6" borderId="5" xfId="0" applyFill="1" applyBorder="1" applyAlignment="1">
      <alignment horizontal="right" vertical="center"/>
    </xf>
    <xf numFmtId="0" fontId="4" fillId="6" borderId="7" xfId="0" applyFont="1" applyFill="1" applyBorder="1" applyAlignment="1">
      <alignment horizontal="right" vertical="center"/>
    </xf>
    <xf numFmtId="0" fontId="0" fillId="7" borderId="5" xfId="0" applyFill="1" applyBorder="1" applyAlignment="1">
      <alignment horizontal="left" vertical="center"/>
    </xf>
    <xf numFmtId="0" fontId="0" fillId="9" borderId="5" xfId="0" applyFill="1" applyBorder="1" applyAlignment="1">
      <alignment horizontal="center" vertical="center"/>
    </xf>
    <xf numFmtId="0" fontId="0" fillId="9" borderId="5" xfId="0" applyFill="1" applyBorder="1" applyAlignment="1">
      <alignment horizontal="left" vertical="center" wrapText="1"/>
    </xf>
    <xf numFmtId="0" fontId="0" fillId="9" borderId="5" xfId="0" applyFill="1" applyBorder="1" applyAlignment="1">
      <alignment horizontal="center" vertical="center" wrapText="1"/>
    </xf>
    <xf numFmtId="164" fontId="0" fillId="9" borderId="5" xfId="0" applyNumberFormat="1" applyFill="1" applyBorder="1" applyAlignment="1">
      <alignment horizontal="right" vertical="center"/>
    </xf>
    <xf numFmtId="2" fontId="0" fillId="9" borderId="5" xfId="0" applyNumberFormat="1" applyFill="1" applyBorder="1" applyAlignment="1">
      <alignment horizontal="right" vertical="center"/>
    </xf>
    <xf numFmtId="4" fontId="0" fillId="9" borderId="5" xfId="0" applyNumberFormat="1" applyFill="1" applyBorder="1" applyAlignment="1">
      <alignment horizontal="right" vertical="center"/>
    </xf>
    <xf numFmtId="0" fontId="0" fillId="9" borderId="0" xfId="0" applyFill="1" applyAlignment="1">
      <alignment vertical="center"/>
    </xf>
    <xf numFmtId="0" fontId="0" fillId="0" borderId="0" xfId="0" applyAlignment="1">
      <alignment horizontal="right"/>
    </xf>
    <xf numFmtId="4" fontId="0" fillId="0" borderId="0" xfId="0" applyNumberFormat="1" applyAlignment="1">
      <alignment horizontal="right"/>
    </xf>
    <xf numFmtId="0" fontId="7" fillId="0" borderId="0" xfId="0" applyFont="1"/>
    <xf numFmtId="0" fontId="7" fillId="0" borderId="0" xfId="0" applyFont="1" applyAlignment="1">
      <alignment wrapText="1"/>
    </xf>
    <xf numFmtId="0" fontId="8" fillId="0" borderId="13" xfId="0" applyFont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 wrapText="1"/>
    </xf>
    <xf numFmtId="4" fontId="8" fillId="0" borderId="13" xfId="2" applyNumberFormat="1" applyFont="1" applyFill="1" applyBorder="1" applyAlignment="1">
      <alignment horizontal="center" vertical="center" wrapText="1"/>
    </xf>
    <xf numFmtId="0" fontId="7" fillId="9" borderId="13" xfId="0" applyFont="1" applyFill="1" applyBorder="1" applyAlignment="1">
      <alignment horizontal="center" vertical="center"/>
    </xf>
    <xf numFmtId="0" fontId="7" fillId="9" borderId="13" xfId="0" applyFont="1" applyFill="1" applyBorder="1" applyAlignment="1">
      <alignment horizontal="left" vertical="center" wrapText="1"/>
    </xf>
    <xf numFmtId="0" fontId="7" fillId="9" borderId="13" xfId="0" applyFont="1" applyFill="1" applyBorder="1" applyAlignment="1">
      <alignment horizontal="center" vertical="center" wrapText="1"/>
    </xf>
    <xf numFmtId="4" fontId="7" fillId="9" borderId="13" xfId="0" applyNumberFormat="1" applyFont="1" applyFill="1" applyBorder="1" applyAlignment="1">
      <alignment horizontal="center" vertical="center"/>
    </xf>
    <xf numFmtId="0" fontId="7" fillId="9" borderId="0" xfId="0" applyFont="1" applyFill="1"/>
    <xf numFmtId="43" fontId="7" fillId="9" borderId="0" xfId="1" applyFont="1" applyFill="1" applyBorder="1"/>
    <xf numFmtId="0" fontId="9" fillId="0" borderId="0" xfId="0" applyFont="1"/>
    <xf numFmtId="0" fontId="10" fillId="0" borderId="0" xfId="0" applyFont="1" applyAlignment="1">
      <alignment vertical="center" wrapText="1"/>
    </xf>
    <xf numFmtId="0" fontId="11" fillId="0" borderId="0" xfId="0" applyFont="1"/>
    <xf numFmtId="49" fontId="9" fillId="0" borderId="0" xfId="0" applyNumberFormat="1" applyFont="1" applyAlignment="1">
      <alignment horizontal="center" vertical="center"/>
    </xf>
    <xf numFmtId="0" fontId="9" fillId="0" borderId="0" xfId="3" applyFont="1" applyAlignment="1">
      <alignment vertical="top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7" fillId="0" borderId="0" xfId="3" applyFont="1" applyAlignment="1">
      <alignment vertical="center"/>
    </xf>
    <xf numFmtId="4" fontId="12" fillId="9" borderId="13" xfId="0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horizontal="right"/>
    </xf>
    <xf numFmtId="4" fontId="7" fillId="0" borderId="0" xfId="0" applyNumberFormat="1" applyFont="1" applyAlignment="1">
      <alignment horizontal="center" vertical="center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4" fontId="3" fillId="0" borderId="8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6" borderId="7" xfId="0" applyFont="1" applyFill="1" applyBorder="1" applyAlignment="1">
      <alignment horizontal="right" vertical="center"/>
    </xf>
    <xf numFmtId="4" fontId="3" fillId="6" borderId="7" xfId="0" applyNumberFormat="1" applyFont="1" applyFill="1" applyBorder="1" applyAlignment="1">
      <alignment horizontal="right" vertical="center"/>
    </xf>
    <xf numFmtId="0" fontId="4" fillId="6" borderId="7" xfId="0" applyFont="1" applyFill="1" applyBorder="1" applyAlignment="1">
      <alignment horizontal="right" vertical="center"/>
    </xf>
    <xf numFmtId="4" fontId="4" fillId="6" borderId="7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0" borderId="0" xfId="3" applyFont="1" applyAlignment="1">
      <alignment horizontal="left" vertical="top" wrapText="1"/>
    </xf>
  </cellXfs>
  <cellStyles count="5">
    <cellStyle name="Акцент1 2" xfId="2" xr:uid="{C54BE0AB-ADE9-4504-9AA1-05BE452E7241}"/>
    <cellStyle name="Обычный" xfId="0" builtinId="0"/>
    <cellStyle name="Обычный 3 2 2 2" xfId="3" xr:uid="{33808A52-8DE0-45E2-9826-4A930FE03692}"/>
    <cellStyle name="Финансовый" xfId="1" builtinId="3"/>
    <cellStyle name="Финансовый 2" xfId="4" xr:uid="{F1B4E2A8-F09A-4FD6-A627-B148B0721AF8}"/>
  </cellStyles>
  <dxfs count="21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2" formatCode="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I:\_&#1057;&#1084;&#1077;&#1090;&#1085;&#1099;&#1081;%20&#1086;&#1090;&#1076;&#1077;&#1083;\2.%20&#1058;&#1045;&#1053;&#1044;&#1045;&#1056;&#1067;\&#1046;&#1050;%20&#1055;&#1088;&#1077;&#1086;\&#1055;&#1056;&#1045;&#1054;%208\04.%20&#1050;&#1088;&#1086;&#1074;&#1083;&#1103;\&#1043;&#1055;-72.215%2004.01%20&#1059;&#1089;&#1090;&#1088;&#1086;&#1081;&#1089;&#1090;&#1074;&#1086;%20&#1082;&#1088;&#1086;&#1074;&#1083;&#1080;%20&#8470;1%20&#1086;&#1090;%2006.05.2026.xlsx" TargetMode="External"/><Relationship Id="rId1" Type="http://schemas.openxmlformats.org/officeDocument/2006/relationships/externalLinkPath" Target="&#1043;&#1055;-72.215%2004.01%20&#1059;&#1089;&#1090;&#1088;&#1086;&#1081;&#1089;&#1090;&#1074;&#1086;%20&#1082;&#1088;&#1086;&#1074;&#1083;&#1080;%20&#8470;1%20&#1086;&#1090;%2006.05.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ЛСР"/>
      <sheetName val="Работы"/>
      <sheetName val="Материалы"/>
      <sheetName val="ПараметрыЗагрузки"/>
    </sheetNames>
    <sheetDataSet>
      <sheetData sheetId="0">
        <row r="6">
          <cell r="B6" t="str">
            <v>Наименование</v>
          </cell>
          <cell r="C6" t="str">
            <v>Артикул, марка, производитель</v>
          </cell>
          <cell r="D6" t="str">
            <v>Характеристика</v>
          </cell>
          <cell r="E6" t="str">
            <v>Ед. изм.</v>
          </cell>
          <cell r="F6" t="str">
            <v>Норма расхода</v>
          </cell>
          <cell r="G6" t="str">
            <v>Секция 1</v>
          </cell>
          <cell r="H6" t="str">
            <v>Количество</v>
          </cell>
          <cell r="I6" t="str">
            <v>Цена за ед., руб</v>
          </cell>
          <cell r="J6" t="str">
            <v>Сумма, руб</v>
          </cell>
          <cell r="K6" t="str">
            <v>Примечание</v>
          </cell>
          <cell r="L6" t="str">
            <v>Форма закупа материала</v>
          </cell>
        </row>
        <row r="8">
          <cell r="B8" t="str">
            <v>Кровля</v>
          </cell>
        </row>
        <row r="9">
          <cell r="B9" t="str">
            <v>Устройство кровли</v>
          </cell>
          <cell r="J9">
            <v>0</v>
          </cell>
        </row>
        <row r="10">
          <cell r="B10" t="str">
            <v>Устройство основного пирога наплавляемой кровли</v>
          </cell>
          <cell r="J10">
            <v>0</v>
          </cell>
        </row>
        <row r="11">
          <cell r="B11" t="str">
            <v>Устройство основного пирога кровли</v>
          </cell>
          <cell r="J11">
            <v>0</v>
          </cell>
        </row>
        <row r="12">
          <cell r="B12" t="str">
            <v>Работы:</v>
          </cell>
          <cell r="J12">
            <v>0</v>
          </cell>
        </row>
        <row r="13">
          <cell r="B13" t="str">
            <v>Нанесение битумного праймера под гидроизоляцию</v>
          </cell>
          <cell r="E13" t="str">
            <v>м2</v>
          </cell>
          <cell r="G13">
            <v>504.61</v>
          </cell>
          <cell r="H13">
            <v>504.61</v>
          </cell>
          <cell r="I13">
            <v>0</v>
          </cell>
          <cell r="J13">
            <v>0</v>
          </cell>
          <cell r="K13" t="str">
            <v>в т.ч. в местах примыкания</v>
          </cell>
        </row>
        <row r="14">
          <cell r="B14" t="str">
            <v>Материалы:</v>
          </cell>
          <cell r="J14">
            <v>0</v>
          </cell>
        </row>
        <row r="15">
          <cell r="B15" t="str">
            <v>Праймер битумный</v>
          </cell>
          <cell r="C15" t="str">
            <v>№01, Технониколь</v>
          </cell>
          <cell r="D15" t="str">
            <v>битумный</v>
          </cell>
          <cell r="E15" t="str">
            <v>л (дм3)</v>
          </cell>
          <cell r="F15">
            <v>0.3</v>
          </cell>
          <cell r="G15">
            <v>151.38</v>
          </cell>
          <cell r="H15">
            <v>151.38</v>
          </cell>
          <cell r="I15">
            <v>0</v>
          </cell>
          <cell r="J15">
            <v>0</v>
          </cell>
          <cell r="K15" t="str">
            <v>Технониколь №01</v>
          </cell>
          <cell r="L15" t="str">
            <v>Закупка подрядчик</v>
          </cell>
        </row>
        <row r="16">
          <cell r="B16" t="str">
            <v>Работы:</v>
          </cell>
          <cell r="J16">
            <v>0</v>
          </cell>
        </row>
        <row r="17">
          <cell r="B17" t="str">
            <v>Укладка пароизоляции по подготовленному основанию насухо (с проклейкой швов)</v>
          </cell>
          <cell r="E17" t="str">
            <v>м2</v>
          </cell>
          <cell r="G17">
            <v>496.62</v>
          </cell>
          <cell r="H17">
            <v>496.62</v>
          </cell>
          <cell r="I17">
            <v>0</v>
          </cell>
          <cell r="J17">
            <v>0</v>
          </cell>
        </row>
        <row r="18">
          <cell r="B18" t="str">
            <v>Материалы:</v>
          </cell>
          <cell r="J18">
            <v>0</v>
          </cell>
        </row>
        <row r="19">
          <cell r="B19" t="str">
            <v>Пленка строительная</v>
          </cell>
          <cell r="D19" t="str">
            <v>гидропароизоляционная</v>
          </cell>
          <cell r="E19" t="str">
            <v>м2</v>
          </cell>
          <cell r="F19">
            <v>1.1000000000000001</v>
          </cell>
          <cell r="G19">
            <v>550</v>
          </cell>
          <cell r="H19">
            <v>550</v>
          </cell>
          <cell r="I19">
            <v>0</v>
          </cell>
          <cell r="J19">
            <v>0</v>
          </cell>
          <cell r="K19" t="str">
            <v>Изоспан D</v>
          </cell>
          <cell r="L19" t="str">
            <v>Закупка подрядчик</v>
          </cell>
        </row>
        <row r="20">
          <cell r="B20" t="str">
            <v>Лента клейкая усиленная двухсторонняя 25мм,25м</v>
          </cell>
          <cell r="C20" t="str">
            <v>KL+, Изоспан</v>
          </cell>
          <cell r="D20" t="str">
            <v>усиленная двухсторонняя 25мм,25м</v>
          </cell>
          <cell r="E20" t="str">
            <v>шт</v>
          </cell>
          <cell r="G20">
            <v>14</v>
          </cell>
          <cell r="H20">
            <v>14</v>
          </cell>
          <cell r="I20">
            <v>0</v>
          </cell>
          <cell r="J20">
            <v>0</v>
          </cell>
          <cell r="K20" t="str">
            <v xml:space="preserve"> Лента Изоспан KL+</v>
          </cell>
          <cell r="L20" t="str">
            <v>Закупка подрядчик</v>
          </cell>
        </row>
        <row r="21">
          <cell r="B21" t="str">
            <v>Работы:</v>
          </cell>
          <cell r="J21">
            <v>0</v>
          </cell>
        </row>
        <row r="22">
          <cell r="B22" t="str">
            <v>Укладка утеплителя толщ. 200мм.</v>
          </cell>
          <cell r="E22" t="str">
            <v>м2</v>
          </cell>
          <cell r="G22">
            <v>496.62</v>
          </cell>
          <cell r="H22">
            <v>496.62</v>
          </cell>
          <cell r="I22">
            <v>0</v>
          </cell>
          <cell r="J22">
            <v>0</v>
          </cell>
        </row>
        <row r="23">
          <cell r="B23" t="str">
            <v>Материалы:</v>
          </cell>
          <cell r="J23">
            <v>0</v>
          </cell>
        </row>
        <row r="24">
          <cell r="B24" t="str">
            <v>Пенополистирол экструзионный 1180х580х100мм 35кг/м3</v>
          </cell>
          <cell r="D24" t="str">
            <v>экструзионный 1180х580х100мм 35кг/м3</v>
          </cell>
          <cell r="E24" t="str">
            <v>м3</v>
          </cell>
          <cell r="F24">
            <v>1.03</v>
          </cell>
          <cell r="G24">
            <v>102.3</v>
          </cell>
          <cell r="H24">
            <v>102.3</v>
          </cell>
          <cell r="I24">
            <v>0</v>
          </cell>
          <cell r="J24">
            <v>0</v>
          </cell>
          <cell r="K24" t="str">
            <v>В два слоя</v>
          </cell>
          <cell r="L24" t="str">
            <v>Закупка подрядчик</v>
          </cell>
        </row>
        <row r="25">
          <cell r="B25" t="str">
            <v>Пена монтажная противопожарная</v>
          </cell>
          <cell r="D25" t="str">
            <v>противопожарная</v>
          </cell>
          <cell r="E25" t="str">
            <v>баллон</v>
          </cell>
          <cell r="G25">
            <v>20</v>
          </cell>
          <cell r="H25">
            <v>20</v>
          </cell>
          <cell r="I25">
            <v>0</v>
          </cell>
          <cell r="J25">
            <v>0</v>
          </cell>
          <cell r="L25" t="str">
            <v>Закупка подрядчик</v>
          </cell>
        </row>
        <row r="26">
          <cell r="B26" t="str">
            <v>Работы:</v>
          </cell>
          <cell r="J26">
            <v>0</v>
          </cell>
        </row>
        <row r="27">
          <cell r="B27" t="str">
            <v>Устройство кровель плоских из наплавляемых материалов в 2 слоя</v>
          </cell>
          <cell r="E27" t="str">
            <v>м2</v>
          </cell>
          <cell r="G27">
            <v>504.61</v>
          </cell>
          <cell r="H27">
            <v>504.61</v>
          </cell>
          <cell r="I27">
            <v>0</v>
          </cell>
          <cell r="J27">
            <v>0</v>
          </cell>
        </row>
        <row r="28">
          <cell r="B28" t="str">
            <v>Материалы:</v>
          </cell>
          <cell r="J28">
            <v>0</v>
          </cell>
        </row>
        <row r="29">
          <cell r="B29" t="str">
            <v>Унифлекс ЭКП 10х1м</v>
          </cell>
          <cell r="D29" t="str">
            <v>ЭКП 10х1м</v>
          </cell>
          <cell r="E29" t="str">
            <v>м2</v>
          </cell>
          <cell r="F29">
            <v>1.1399999999999999</v>
          </cell>
          <cell r="G29">
            <v>575.25</v>
          </cell>
          <cell r="H29">
            <v>575.25</v>
          </cell>
          <cell r="I29">
            <v>0</v>
          </cell>
          <cell r="J29">
            <v>0</v>
          </cell>
          <cell r="L29" t="str">
            <v>Закупка подрядчик</v>
          </cell>
        </row>
        <row r="30">
          <cell r="B30" t="str">
            <v>Унифлекс ЭПП 10х1м</v>
          </cell>
          <cell r="D30" t="str">
            <v>ЭПП 10х1м</v>
          </cell>
          <cell r="E30" t="str">
            <v>м2</v>
          </cell>
          <cell r="F30">
            <v>1.1599999999999999</v>
          </cell>
          <cell r="G30">
            <v>585.34</v>
          </cell>
          <cell r="H30">
            <v>585.34</v>
          </cell>
          <cell r="I30">
            <v>0</v>
          </cell>
          <cell r="J30">
            <v>0</v>
          </cell>
          <cell r="L30" t="str">
            <v>Закупка подрядчик</v>
          </cell>
        </row>
        <row r="31">
          <cell r="B31" t="str">
            <v>Газ-пропан</v>
          </cell>
          <cell r="E31" t="str">
            <v>л (дм3)</v>
          </cell>
          <cell r="F31">
            <v>0.94</v>
          </cell>
          <cell r="G31">
            <v>474.33</v>
          </cell>
          <cell r="H31">
            <v>474.33</v>
          </cell>
          <cell r="I31">
            <v>0</v>
          </cell>
          <cell r="J31">
            <v>0</v>
          </cell>
          <cell r="L31" t="str">
            <v>Закупка подрядчик</v>
          </cell>
        </row>
        <row r="32">
          <cell r="B32" t="str">
            <v>Работы:</v>
          </cell>
          <cell r="J32">
            <v>0</v>
          </cell>
        </row>
        <row r="33">
          <cell r="B33" t="str">
            <v>Устройство стяжек сборных из плоских асбестоцементных листов плоских (2слоя)</v>
          </cell>
          <cell r="E33" t="str">
            <v>м2</v>
          </cell>
          <cell r="G33">
            <v>496.62</v>
          </cell>
          <cell r="H33">
            <v>496.62</v>
          </cell>
          <cell r="I33">
            <v>0</v>
          </cell>
          <cell r="J33">
            <v>0</v>
          </cell>
        </row>
        <row r="34">
          <cell r="B34" t="str">
            <v>Материалы:</v>
          </cell>
          <cell r="J34">
            <v>0</v>
          </cell>
        </row>
        <row r="35">
          <cell r="B35" t="str">
            <v>Лист асбестоцементный ЛП-П 10мм</v>
          </cell>
          <cell r="D35" t="str">
            <v>ЛП-П 10мм</v>
          </cell>
          <cell r="E35" t="str">
            <v>м2</v>
          </cell>
          <cell r="F35">
            <v>2.0499999999999998</v>
          </cell>
          <cell r="G35">
            <v>1018.07</v>
          </cell>
          <cell r="H35">
            <v>1018.07</v>
          </cell>
          <cell r="I35">
            <v>0</v>
          </cell>
          <cell r="J35">
            <v>0</v>
          </cell>
          <cell r="K35" t="str">
            <v>в 2 слоя</v>
          </cell>
          <cell r="L35" t="str">
            <v>Закупка подрядчик</v>
          </cell>
        </row>
        <row r="36">
          <cell r="B36" t="str">
            <v>Кляймер 10мм двойной гнутый для плоского шифера</v>
          </cell>
          <cell r="D36" t="str">
            <v>10мм двойной гнутый для плоского шифера</v>
          </cell>
          <cell r="E36" t="str">
            <v>шт</v>
          </cell>
          <cell r="F36">
            <v>4</v>
          </cell>
          <cell r="G36">
            <v>1988</v>
          </cell>
          <cell r="H36">
            <v>1988</v>
          </cell>
          <cell r="I36">
            <v>0</v>
          </cell>
          <cell r="J36">
            <v>0</v>
          </cell>
          <cell r="L36" t="str">
            <v>Закупка подрядчик</v>
          </cell>
        </row>
        <row r="37">
          <cell r="B37" t="str">
            <v>Саморезы по дереву 3,5х45</v>
          </cell>
          <cell r="D37" t="str">
            <v>по дереву 3,5х45</v>
          </cell>
          <cell r="E37" t="str">
            <v>шт</v>
          </cell>
          <cell r="F37">
            <v>5</v>
          </cell>
          <cell r="G37">
            <v>2484</v>
          </cell>
          <cell r="H37">
            <v>2484</v>
          </cell>
          <cell r="I37">
            <v>0</v>
          </cell>
          <cell r="J37">
            <v>0</v>
          </cell>
          <cell r="L37" t="str">
            <v>Закупка подрядчик</v>
          </cell>
        </row>
        <row r="38">
          <cell r="B38" t="str">
            <v>Работы:</v>
          </cell>
          <cell r="J38">
            <v>0</v>
          </cell>
        </row>
        <row r="39">
          <cell r="B39" t="str">
            <v>Устройство уклонообразующего слоя из керамзита с разуклонкой</v>
          </cell>
          <cell r="E39" t="str">
            <v>м2</v>
          </cell>
          <cell r="G39">
            <v>496.62</v>
          </cell>
          <cell r="H39">
            <v>496.62</v>
          </cell>
          <cell r="I39">
            <v>0</v>
          </cell>
          <cell r="J39">
            <v>0</v>
          </cell>
          <cell r="K39" t="str">
            <v>толщ.50-250мм</v>
          </cell>
        </row>
        <row r="40">
          <cell r="B40" t="str">
            <v>Материалы:</v>
          </cell>
          <cell r="J40">
            <v>0</v>
          </cell>
        </row>
        <row r="41">
          <cell r="B41" t="str">
            <v>Керамзит</v>
          </cell>
          <cell r="D41" t="str">
            <v>фр.10-20мм</v>
          </cell>
          <cell r="E41" t="str">
            <v>м3</v>
          </cell>
          <cell r="F41">
            <v>1.05</v>
          </cell>
          <cell r="G41">
            <v>95.6</v>
          </cell>
          <cell r="H41">
            <v>95.6</v>
          </cell>
          <cell r="I41">
            <v>0</v>
          </cell>
          <cell r="J41">
            <v>0</v>
          </cell>
          <cell r="L41" t="str">
            <v>Закупка подрядчик</v>
          </cell>
        </row>
        <row r="42">
          <cell r="B42" t="str">
            <v>Работы:</v>
          </cell>
          <cell r="J42">
            <v>0</v>
          </cell>
        </row>
        <row r="43">
          <cell r="B43" t="str">
            <v>Устройство уклонообразующего слоя из цементно-песчаной стяжки с разуклонкой</v>
          </cell>
          <cell r="E43" t="str">
            <v>м2</v>
          </cell>
          <cell r="G43">
            <v>3.55</v>
          </cell>
          <cell r="H43">
            <v>3.55</v>
          </cell>
          <cell r="I43">
            <v>0</v>
          </cell>
          <cell r="J43">
            <v>0</v>
          </cell>
        </row>
        <row r="44">
          <cell r="B44" t="str">
            <v>Материалы:</v>
          </cell>
          <cell r="J44">
            <v>0</v>
          </cell>
        </row>
        <row r="45">
          <cell r="B45" t="str">
            <v>Раствор строительный</v>
          </cell>
          <cell r="D45" t="str">
            <v>цементно-песчаный М100</v>
          </cell>
          <cell r="E45" t="str">
            <v>м3</v>
          </cell>
          <cell r="F45">
            <v>1.1000000000000001</v>
          </cell>
          <cell r="G45">
            <v>0.28999999999999998</v>
          </cell>
          <cell r="H45">
            <v>0.28999999999999998</v>
          </cell>
          <cell r="I45">
            <v>0</v>
          </cell>
          <cell r="J45">
            <v>0</v>
          </cell>
          <cell r="L45" t="str">
            <v>Закупка подрядчик</v>
          </cell>
        </row>
        <row r="46">
          <cell r="B46" t="str">
            <v>Работы:</v>
          </cell>
          <cell r="J46">
            <v>0</v>
          </cell>
        </row>
        <row r="47">
          <cell r="B47" t="str">
            <v>Утепление парапетов</v>
          </cell>
          <cell r="E47" t="str">
            <v>м2</v>
          </cell>
          <cell r="G47">
            <v>117.88</v>
          </cell>
          <cell r="H47">
            <v>117.88</v>
          </cell>
          <cell r="I47">
            <v>0</v>
          </cell>
          <cell r="J47">
            <v>0</v>
          </cell>
          <cell r="K47" t="str">
            <v>на высоту 1,2 м</v>
          </cell>
        </row>
        <row r="48">
          <cell r="B48" t="str">
            <v>Материалы:</v>
          </cell>
          <cell r="J48">
            <v>0</v>
          </cell>
        </row>
        <row r="49">
          <cell r="B49" t="str">
            <v>Дюбель для теплоизоляции с термоголовкой 10х160</v>
          </cell>
          <cell r="D49" t="str">
            <v>для теплоизоляции с термоголовкой 10х160</v>
          </cell>
          <cell r="E49" t="str">
            <v>шт</v>
          </cell>
          <cell r="F49">
            <v>7</v>
          </cell>
          <cell r="G49">
            <v>830</v>
          </cell>
          <cell r="H49">
            <v>830</v>
          </cell>
          <cell r="I49">
            <v>0</v>
          </cell>
          <cell r="J49">
            <v>0</v>
          </cell>
          <cell r="L49" t="str">
            <v>Закупка подрядчик</v>
          </cell>
        </row>
        <row r="50">
          <cell r="B50" t="str">
            <v>Плита минераловатная 100мм 130 кг/м3</v>
          </cell>
          <cell r="D50" t="str">
            <v>100мм 130 кг/м3</v>
          </cell>
          <cell r="E50" t="str">
            <v>м3</v>
          </cell>
          <cell r="F50">
            <v>1.07</v>
          </cell>
          <cell r="G50">
            <v>12.61</v>
          </cell>
          <cell r="H50">
            <v>12.61</v>
          </cell>
          <cell r="I50">
            <v>0</v>
          </cell>
          <cell r="J50">
            <v>0</v>
          </cell>
          <cell r="L50" t="str">
            <v>Закупка подрядчик</v>
          </cell>
        </row>
        <row r="51">
          <cell r="B51" t="str">
            <v>Устройство примыканий наплавляемой кровли</v>
          </cell>
          <cell r="J51">
            <v>0</v>
          </cell>
        </row>
        <row r="52">
          <cell r="B52" t="str">
            <v>Устройство примыканий наплавляемой кровли</v>
          </cell>
          <cell r="J52">
            <v>0</v>
          </cell>
        </row>
        <row r="53">
          <cell r="B53" t="str">
            <v>Работы:</v>
          </cell>
          <cell r="J53">
            <v>0</v>
          </cell>
        </row>
        <row r="54">
          <cell r="B54" t="str">
            <v>Монтаж краевой рейки в примыканию к парапету с герметизацией по верху</v>
          </cell>
          <cell r="E54" t="str">
            <v>пог. м</v>
          </cell>
          <cell r="G54">
            <v>98.33</v>
          </cell>
          <cell r="H54">
            <v>98.33</v>
          </cell>
          <cell r="I54">
            <v>0</v>
          </cell>
          <cell r="J54">
            <v>0</v>
          </cell>
        </row>
        <row r="55">
          <cell r="B55" t="str">
            <v>Материалы:</v>
          </cell>
          <cell r="J55">
            <v>0</v>
          </cell>
        </row>
        <row r="56">
          <cell r="B56" t="str">
            <v>Рейка краевая алюминиевая 3000х32х3,0</v>
          </cell>
          <cell r="D56" t="str">
            <v>алюминиевая 3000х32х3,0</v>
          </cell>
          <cell r="E56" t="str">
            <v>пог. м</v>
          </cell>
          <cell r="F56">
            <v>1.07</v>
          </cell>
          <cell r="G56">
            <v>105.21</v>
          </cell>
          <cell r="H56">
            <v>105.21</v>
          </cell>
          <cell r="I56">
            <v>0</v>
          </cell>
          <cell r="J56">
            <v>0</v>
          </cell>
          <cell r="L56" t="str">
            <v>Закупка подрядчик</v>
          </cell>
        </row>
        <row r="57">
          <cell r="B57" t="str">
            <v>Герметик полиуретановый</v>
          </cell>
          <cell r="D57" t="str">
            <v>полиуретановый</v>
          </cell>
          <cell r="E57" t="str">
            <v>туб.</v>
          </cell>
          <cell r="G57">
            <v>5</v>
          </cell>
          <cell r="H57">
            <v>5</v>
          </cell>
          <cell r="I57">
            <v>0</v>
          </cell>
          <cell r="J57">
            <v>0</v>
          </cell>
          <cell r="L57" t="str">
            <v>Закупка подрядчик</v>
          </cell>
        </row>
        <row r="58">
          <cell r="B58" t="str">
            <v>Дюбель-гвоздь 6х40</v>
          </cell>
          <cell r="D58" t="str">
            <v>6х40</v>
          </cell>
          <cell r="E58" t="str">
            <v>шт</v>
          </cell>
          <cell r="G58">
            <v>530</v>
          </cell>
          <cell r="H58">
            <v>530</v>
          </cell>
          <cell r="I58">
            <v>0</v>
          </cell>
          <cell r="J58">
            <v>0</v>
          </cell>
          <cell r="L58" t="str">
            <v>Закупка подрядчик</v>
          </cell>
        </row>
        <row r="59">
          <cell r="B59" t="str">
            <v>Работы:</v>
          </cell>
          <cell r="J59">
            <v>0</v>
          </cell>
        </row>
        <row r="60">
          <cell r="B60" t="str">
            <v>Монтаж утеплителя (минплита) толщ.100мм</v>
          </cell>
          <cell r="E60" t="str">
            <v>м2</v>
          </cell>
          <cell r="G60">
            <v>210.72</v>
          </cell>
          <cell r="H60">
            <v>210.72</v>
          </cell>
          <cell r="I60">
            <v>0</v>
          </cell>
          <cell r="J60">
            <v>0</v>
          </cell>
          <cell r="K60" t="str">
            <v>Утеплитель до пола (вентшахты)</v>
          </cell>
        </row>
        <row r="61">
          <cell r="B61" t="str">
            <v>Материалы:</v>
          </cell>
          <cell r="J61">
            <v>0</v>
          </cell>
        </row>
        <row r="62">
          <cell r="B62" t="str">
            <v>Дюбель для теплоизоляции с термоголовкой 10х160</v>
          </cell>
          <cell r="D62" t="str">
            <v>для теплоизоляции с термоголовкой 10х160</v>
          </cell>
          <cell r="E62" t="str">
            <v>шт</v>
          </cell>
          <cell r="F62">
            <v>7</v>
          </cell>
          <cell r="G62">
            <v>1480</v>
          </cell>
          <cell r="H62">
            <v>1480</v>
          </cell>
          <cell r="I62">
            <v>0</v>
          </cell>
          <cell r="J62">
            <v>0</v>
          </cell>
          <cell r="L62" t="str">
            <v>Закупка подрядчик</v>
          </cell>
        </row>
        <row r="63">
          <cell r="B63" t="str">
            <v>Плита минераловатная 100мм 130 кг/м3</v>
          </cell>
          <cell r="D63" t="str">
            <v>100мм 130 кг/м3</v>
          </cell>
          <cell r="E63" t="str">
            <v>м3</v>
          </cell>
          <cell r="F63">
            <v>1.07</v>
          </cell>
          <cell r="G63">
            <v>22.55</v>
          </cell>
          <cell r="H63">
            <v>22.55</v>
          </cell>
          <cell r="I63">
            <v>0</v>
          </cell>
          <cell r="J63">
            <v>0</v>
          </cell>
          <cell r="L63" t="str">
            <v>Закупка подрядчик</v>
          </cell>
        </row>
        <row r="64">
          <cell r="B64" t="str">
            <v>Работы:</v>
          </cell>
          <cell r="J64">
            <v>0</v>
          </cell>
        </row>
        <row r="65">
          <cell r="B65" t="str">
            <v>Монтаж утеплителя (минплита) толщ.150мм</v>
          </cell>
          <cell r="E65" t="str">
            <v>м2</v>
          </cell>
          <cell r="G65">
            <v>41.88</v>
          </cell>
          <cell r="H65">
            <v>41.88</v>
          </cell>
          <cell r="I65">
            <v>0</v>
          </cell>
          <cell r="J65">
            <v>0</v>
          </cell>
          <cell r="K65" t="str">
            <v>Утеплитель до пола (вентшахты)</v>
          </cell>
        </row>
        <row r="66">
          <cell r="B66" t="str">
            <v>Материалы:</v>
          </cell>
          <cell r="J66">
            <v>0</v>
          </cell>
        </row>
        <row r="67">
          <cell r="B67" t="str">
            <v>Дюбель для теплоизоляции с термоголовкой 10х220</v>
          </cell>
          <cell r="D67" t="str">
            <v>для теплоизоляции с термоголовкой 10х220</v>
          </cell>
          <cell r="E67" t="str">
            <v>шт</v>
          </cell>
          <cell r="F67">
            <v>7</v>
          </cell>
          <cell r="G67">
            <v>295</v>
          </cell>
          <cell r="H67">
            <v>295</v>
          </cell>
          <cell r="I67">
            <v>0</v>
          </cell>
          <cell r="J67">
            <v>0</v>
          </cell>
          <cell r="L67" t="str">
            <v>Закупка подрядчик</v>
          </cell>
        </row>
        <row r="68">
          <cell r="B68" t="str">
            <v>Плита минераловатная 150мм 130 кг/м3</v>
          </cell>
          <cell r="D68" t="str">
            <v>150мм 130 кг/м3</v>
          </cell>
          <cell r="E68" t="str">
            <v>м3</v>
          </cell>
          <cell r="F68">
            <v>1.07</v>
          </cell>
          <cell r="G68">
            <v>6.72</v>
          </cell>
          <cell r="H68">
            <v>6.72</v>
          </cell>
          <cell r="I68">
            <v>0</v>
          </cell>
          <cell r="J68">
            <v>0</v>
          </cell>
          <cell r="L68" t="str">
            <v>Закупка подрядчик</v>
          </cell>
        </row>
        <row r="69">
          <cell r="B69" t="str">
            <v>Работы:</v>
          </cell>
          <cell r="J69">
            <v>0</v>
          </cell>
        </row>
        <row r="70">
          <cell r="B70" t="str">
            <v>Нанесение битумного праймера под гидроизоляцию</v>
          </cell>
          <cell r="E70" t="str">
            <v>м2</v>
          </cell>
          <cell r="G70">
            <v>622.78</v>
          </cell>
          <cell r="H70">
            <v>622.78</v>
          </cell>
          <cell r="I70">
            <v>0</v>
          </cell>
          <cell r="J70">
            <v>0</v>
          </cell>
          <cell r="K70" t="str">
            <v>в т.ч. в местах примыкания</v>
          </cell>
        </row>
        <row r="71">
          <cell r="B71" t="str">
            <v>Материалы:</v>
          </cell>
          <cell r="J71">
            <v>0</v>
          </cell>
        </row>
        <row r="72">
          <cell r="B72" t="str">
            <v>Праймер битумный</v>
          </cell>
          <cell r="C72" t="str">
            <v>№01, Технониколь</v>
          </cell>
          <cell r="D72" t="str">
            <v>битумный</v>
          </cell>
          <cell r="E72" t="str">
            <v>л (дм3)</v>
          </cell>
          <cell r="F72">
            <v>0.3</v>
          </cell>
          <cell r="G72">
            <v>186.84</v>
          </cell>
          <cell r="H72">
            <v>186.84</v>
          </cell>
          <cell r="I72">
            <v>0</v>
          </cell>
          <cell r="J72">
            <v>0</v>
          </cell>
          <cell r="K72" t="str">
            <v>Технониколь №01</v>
          </cell>
          <cell r="L72" t="str">
            <v>Закупка подрядчик</v>
          </cell>
        </row>
        <row r="73">
          <cell r="B73" t="str">
            <v>Работы:</v>
          </cell>
          <cell r="J73">
            <v>0</v>
          </cell>
        </row>
        <row r="74">
          <cell r="B74" t="str">
            <v>Обшивка асбестоцементными листами</v>
          </cell>
          <cell r="E74" t="str">
            <v>м2</v>
          </cell>
          <cell r="G74">
            <v>411.58</v>
          </cell>
          <cell r="H74">
            <v>411.58</v>
          </cell>
          <cell r="I74">
            <v>0</v>
          </cell>
          <cell r="J74">
            <v>0</v>
          </cell>
          <cell r="K74" t="str">
            <v>вентшахты, кладки вокруг фановых труб, парапет</v>
          </cell>
        </row>
        <row r="75">
          <cell r="B75" t="str">
            <v>Материалы:</v>
          </cell>
          <cell r="J75">
            <v>0</v>
          </cell>
        </row>
        <row r="76">
          <cell r="B76" t="str">
            <v>Дюбель рамный металлический 10х202</v>
          </cell>
          <cell r="D76" t="str">
            <v>рамный металлический 10х202</v>
          </cell>
          <cell r="E76" t="str">
            <v>шт</v>
          </cell>
          <cell r="G76">
            <v>120</v>
          </cell>
          <cell r="H76">
            <v>120</v>
          </cell>
          <cell r="I76">
            <v>0</v>
          </cell>
          <cell r="J76">
            <v>0</v>
          </cell>
          <cell r="L76" t="str">
            <v>Закупка подрядчик</v>
          </cell>
        </row>
        <row r="77">
          <cell r="B77" t="str">
            <v>Дюбель рамный металлический 10х152</v>
          </cell>
          <cell r="D77" t="str">
            <v>рамный металлический 10х152</v>
          </cell>
          <cell r="E77" t="str">
            <v>шт</v>
          </cell>
          <cell r="G77">
            <v>2500</v>
          </cell>
          <cell r="H77">
            <v>2500</v>
          </cell>
          <cell r="I77">
            <v>0</v>
          </cell>
          <cell r="J77">
            <v>0</v>
          </cell>
          <cell r="L77" t="str">
            <v>Закупка подрядчик</v>
          </cell>
        </row>
        <row r="78">
          <cell r="B78" t="str">
            <v>Лист асбестоцементный ЛП-П 10мм</v>
          </cell>
          <cell r="D78" t="str">
            <v>ЛП-П 10мм</v>
          </cell>
          <cell r="E78" t="str">
            <v>м2</v>
          </cell>
          <cell r="F78">
            <v>2.0499999999999998</v>
          </cell>
          <cell r="G78">
            <v>843.74</v>
          </cell>
          <cell r="H78">
            <v>843.74</v>
          </cell>
          <cell r="I78">
            <v>0</v>
          </cell>
          <cell r="J78">
            <v>0</v>
          </cell>
          <cell r="K78" t="str">
            <v>в 2 слоя</v>
          </cell>
          <cell r="L78" t="str">
            <v>Закупка подрядчик</v>
          </cell>
        </row>
        <row r="79">
          <cell r="B79" t="str">
            <v>Доска обрезная антисептированная 50х100х6000</v>
          </cell>
          <cell r="D79" t="str">
            <v>обрезная антисептированная 50х100х6000</v>
          </cell>
          <cell r="E79" t="str">
            <v>м3</v>
          </cell>
          <cell r="F79">
            <v>1.05</v>
          </cell>
          <cell r="G79">
            <v>3.93</v>
          </cell>
          <cell r="H79">
            <v>3.93</v>
          </cell>
          <cell r="I79">
            <v>0</v>
          </cell>
          <cell r="J79">
            <v>0</v>
          </cell>
          <cell r="L79" t="str">
            <v>Закупка подрядчик</v>
          </cell>
        </row>
        <row r="80">
          <cell r="B80" t="str">
            <v>Доска обрезная антисептированная 50х150х6000</v>
          </cell>
          <cell r="D80" t="str">
            <v>обрезная антисептированная 50х150х6000</v>
          </cell>
          <cell r="E80" t="str">
            <v>м3</v>
          </cell>
          <cell r="F80">
            <v>1.05</v>
          </cell>
          <cell r="G80">
            <v>0.27</v>
          </cell>
          <cell r="H80">
            <v>0.27</v>
          </cell>
          <cell r="I80">
            <v>0</v>
          </cell>
          <cell r="J80">
            <v>0</v>
          </cell>
          <cell r="L80" t="str">
            <v>Закупка подрядчик</v>
          </cell>
        </row>
        <row r="81">
          <cell r="B81" t="str">
            <v>Саморезы по дереву 3,5х45</v>
          </cell>
          <cell r="D81" t="str">
            <v>по дереву 3,5х45</v>
          </cell>
          <cell r="E81" t="str">
            <v>шт</v>
          </cell>
          <cell r="G81">
            <v>2921</v>
          </cell>
          <cell r="H81">
            <v>2921</v>
          </cell>
          <cell r="I81">
            <v>0</v>
          </cell>
          <cell r="J81">
            <v>0</v>
          </cell>
          <cell r="L81" t="str">
            <v>Закупка подрядчик</v>
          </cell>
        </row>
        <row r="82">
          <cell r="B82" t="str">
            <v>Работы:</v>
          </cell>
          <cell r="J82">
            <v>0</v>
          </cell>
        </row>
        <row r="83">
          <cell r="B83" t="str">
            <v>Усиление примыканий, углов и стыков АЦЛ</v>
          </cell>
          <cell r="E83" t="str">
            <v>м2</v>
          </cell>
          <cell r="G83">
            <v>99.85</v>
          </cell>
          <cell r="H83">
            <v>99.85</v>
          </cell>
          <cell r="I83">
            <v>0</v>
          </cell>
          <cell r="J83">
            <v>0</v>
          </cell>
          <cell r="K83" t="str">
            <v>200мм- углы, 150мм- стыки</v>
          </cell>
        </row>
        <row r="84">
          <cell r="B84" t="str">
            <v>Материалы:</v>
          </cell>
          <cell r="J84">
            <v>0</v>
          </cell>
        </row>
        <row r="85">
          <cell r="B85" t="str">
            <v>Унифлекс ЭПП 10х1м</v>
          </cell>
          <cell r="D85" t="str">
            <v>ЭПП 10х1м</v>
          </cell>
          <cell r="E85" t="str">
            <v>м2</v>
          </cell>
          <cell r="F85">
            <v>1.1000000000000001</v>
          </cell>
          <cell r="G85">
            <v>110</v>
          </cell>
          <cell r="H85">
            <v>110</v>
          </cell>
          <cell r="I85">
            <v>0</v>
          </cell>
          <cell r="J85">
            <v>0</v>
          </cell>
          <cell r="L85" t="str">
            <v>Закупка подрядчик</v>
          </cell>
        </row>
        <row r="86">
          <cell r="B86" t="str">
            <v>Газ-пропан</v>
          </cell>
          <cell r="E86" t="str">
            <v>л (дм3)</v>
          </cell>
          <cell r="F86">
            <v>0.47</v>
          </cell>
          <cell r="G86">
            <v>46.93</v>
          </cell>
          <cell r="H86">
            <v>46.93</v>
          </cell>
          <cell r="I86">
            <v>0</v>
          </cell>
          <cell r="J86">
            <v>0</v>
          </cell>
          <cell r="L86" t="str">
            <v>Закупка подрядчик</v>
          </cell>
        </row>
        <row r="87">
          <cell r="B87" t="str">
            <v>Работы:</v>
          </cell>
          <cell r="J87">
            <v>0</v>
          </cell>
        </row>
        <row r="88">
          <cell r="B88" t="str">
            <v>Устройство галтели в примыканиях из асбестоцементных листов</v>
          </cell>
          <cell r="E88" t="str">
            <v>м2</v>
          </cell>
          <cell r="G88">
            <v>39.74</v>
          </cell>
          <cell r="H88">
            <v>39.74</v>
          </cell>
          <cell r="I88">
            <v>0</v>
          </cell>
          <cell r="J88">
            <v>0</v>
          </cell>
        </row>
        <row r="89">
          <cell r="B89" t="str">
            <v>Материалы:</v>
          </cell>
          <cell r="J89">
            <v>0</v>
          </cell>
        </row>
        <row r="90">
          <cell r="B90" t="str">
            <v>Лист асбестоцементный ЛП-П 10мм</v>
          </cell>
          <cell r="D90" t="str">
            <v>ЛП-П 10мм</v>
          </cell>
          <cell r="E90" t="str">
            <v>м2</v>
          </cell>
          <cell r="F90">
            <v>1.05</v>
          </cell>
          <cell r="G90">
            <v>41.72</v>
          </cell>
          <cell r="H90">
            <v>41.72</v>
          </cell>
          <cell r="I90">
            <v>0</v>
          </cell>
          <cell r="J90">
            <v>0</v>
          </cell>
          <cell r="L90" t="str">
            <v>Закупка подрядчик</v>
          </cell>
        </row>
        <row r="91">
          <cell r="B91" t="str">
            <v>Саморезы по дереву 3,5х45</v>
          </cell>
          <cell r="D91" t="str">
            <v>по дереву 3,5х45</v>
          </cell>
          <cell r="E91" t="str">
            <v>шт</v>
          </cell>
          <cell r="G91">
            <v>545</v>
          </cell>
          <cell r="H91">
            <v>545</v>
          </cell>
          <cell r="I91">
            <v>0</v>
          </cell>
          <cell r="J91">
            <v>0</v>
          </cell>
          <cell r="K91" t="str">
            <v>шаг 300мм примыкание только к АЦЛ</v>
          </cell>
          <cell r="L91" t="str">
            <v>Закупка подрядчик</v>
          </cell>
        </row>
        <row r="92">
          <cell r="B92" t="str">
            <v>Дюбель-гвоздь 6х40</v>
          </cell>
          <cell r="D92" t="str">
            <v>6х40</v>
          </cell>
          <cell r="E92" t="str">
            <v>шт</v>
          </cell>
          <cell r="G92">
            <v>386</v>
          </cell>
          <cell r="H92">
            <v>386</v>
          </cell>
          <cell r="I92">
            <v>0</v>
          </cell>
          <cell r="J92">
            <v>0</v>
          </cell>
          <cell r="K92" t="str">
            <v>шаг 300мм, примыкание только к парапету</v>
          </cell>
          <cell r="L92" t="str">
            <v>Закупка подрядчик</v>
          </cell>
        </row>
        <row r="93">
          <cell r="B93" t="str">
            <v>Работы:</v>
          </cell>
          <cell r="J93">
            <v>0</v>
          </cell>
        </row>
        <row r="94">
          <cell r="B94" t="str">
            <v>Устройство примыканий водоизоляционного слоя и оклеечная гидроизоляция (2 слоя)</v>
          </cell>
          <cell r="E94" t="str">
            <v>м2</v>
          </cell>
          <cell r="G94">
            <v>622.78</v>
          </cell>
          <cell r="H94">
            <v>622.78</v>
          </cell>
          <cell r="I94">
            <v>0</v>
          </cell>
          <cell r="J94">
            <v>0</v>
          </cell>
        </row>
        <row r="95">
          <cell r="B95" t="str">
            <v>Материалы:</v>
          </cell>
          <cell r="J95">
            <v>0</v>
          </cell>
        </row>
        <row r="96">
          <cell r="B96" t="str">
            <v>Унифлекс ЭКП 10х1м</v>
          </cell>
          <cell r="D96" t="str">
            <v>ЭКП 10х1м</v>
          </cell>
          <cell r="E96" t="str">
            <v>м2</v>
          </cell>
          <cell r="F96">
            <v>1.1399999999999999</v>
          </cell>
          <cell r="G96">
            <v>709.97</v>
          </cell>
          <cell r="H96">
            <v>709.97</v>
          </cell>
          <cell r="I96">
            <v>0</v>
          </cell>
          <cell r="J96">
            <v>0</v>
          </cell>
          <cell r="L96" t="str">
            <v>Закупка подрядчик</v>
          </cell>
        </row>
        <row r="97">
          <cell r="B97" t="str">
            <v>Унифлекс ЭПП 10х1м</v>
          </cell>
          <cell r="D97" t="str">
            <v>ЭПП 10х1м</v>
          </cell>
          <cell r="E97" t="str">
            <v>м2</v>
          </cell>
          <cell r="F97">
            <v>1.1599999999999999</v>
          </cell>
          <cell r="G97">
            <v>664.37</v>
          </cell>
          <cell r="H97">
            <v>664.37</v>
          </cell>
          <cell r="I97">
            <v>0</v>
          </cell>
          <cell r="J97">
            <v>0</v>
          </cell>
          <cell r="L97" t="str">
            <v>Закупка подрядчик</v>
          </cell>
        </row>
        <row r="98">
          <cell r="B98" t="str">
            <v>Газ-пропан</v>
          </cell>
          <cell r="E98" t="str">
            <v>л (дм3)</v>
          </cell>
          <cell r="F98">
            <v>0.94</v>
          </cell>
          <cell r="G98">
            <v>760.2</v>
          </cell>
          <cell r="H98">
            <v>760.2</v>
          </cell>
          <cell r="I98">
            <v>0</v>
          </cell>
          <cell r="J98">
            <v>0</v>
          </cell>
          <cell r="L98" t="str">
            <v>Закупка подрядчик</v>
          </cell>
        </row>
        <row r="99">
          <cell r="B99" t="str">
            <v>Работы:</v>
          </cell>
          <cell r="J99">
            <v>0</v>
          </cell>
        </row>
        <row r="100">
          <cell r="B100" t="str">
            <v>Устройство примыканий пароизоляционного слоя к вертикальным конструкциям</v>
          </cell>
          <cell r="E100" t="str">
            <v>м2</v>
          </cell>
          <cell r="G100">
            <v>128</v>
          </cell>
          <cell r="H100">
            <v>128</v>
          </cell>
          <cell r="I100">
            <v>0</v>
          </cell>
          <cell r="J100">
            <v>0</v>
          </cell>
          <cell r="K100" t="str">
            <v>на высоту 250мм + узел 4.8 04/2024-АСУ, лист 4.2</v>
          </cell>
        </row>
        <row r="101">
          <cell r="B101" t="str">
            <v>Материалы:</v>
          </cell>
          <cell r="J101">
            <v>0</v>
          </cell>
        </row>
        <row r="102">
          <cell r="B102" t="str">
            <v>Пленка строительная</v>
          </cell>
          <cell r="D102" t="str">
            <v>гидропароизоляционная</v>
          </cell>
          <cell r="E102" t="str">
            <v>м2</v>
          </cell>
          <cell r="F102">
            <v>1.1000000000000001</v>
          </cell>
          <cell r="G102">
            <v>145</v>
          </cell>
          <cell r="H102">
            <v>145</v>
          </cell>
          <cell r="I102">
            <v>0</v>
          </cell>
          <cell r="J102">
            <v>0</v>
          </cell>
          <cell r="K102" t="str">
            <v>Изоспан D</v>
          </cell>
          <cell r="L102" t="str">
            <v>Закупка подрядчик</v>
          </cell>
        </row>
        <row r="103">
          <cell r="B103" t="str">
            <v>Лента клейкая усиленная двухсторонняя 25мм,25м</v>
          </cell>
          <cell r="C103" t="str">
            <v>KL+, Изоспан</v>
          </cell>
          <cell r="D103" t="str">
            <v>усиленная двухсторонняя 25мм,25м</v>
          </cell>
          <cell r="E103" t="str">
            <v>шт</v>
          </cell>
          <cell r="G103">
            <v>4</v>
          </cell>
          <cell r="H103">
            <v>4</v>
          </cell>
          <cell r="I103">
            <v>0</v>
          </cell>
          <cell r="J103">
            <v>0</v>
          </cell>
          <cell r="K103" t="str">
            <v>Изоспан KL+</v>
          </cell>
          <cell r="L103" t="str">
            <v>Закупка подрядчик</v>
          </cell>
        </row>
        <row r="104">
          <cell r="B104" t="str">
            <v>Работы:</v>
          </cell>
          <cell r="J104">
            <v>0</v>
          </cell>
        </row>
        <row r="105">
          <cell r="B105" t="str">
            <v>Устройство цементно-песчаной стяжки по верху парапета</v>
          </cell>
          <cell r="E105" t="str">
            <v>м2</v>
          </cell>
          <cell r="G105">
            <v>38.6</v>
          </cell>
          <cell r="H105">
            <v>38.6</v>
          </cell>
          <cell r="I105">
            <v>0</v>
          </cell>
          <cell r="J105">
            <v>0</v>
          </cell>
        </row>
        <row r="106">
          <cell r="B106" t="str">
            <v>Материалы:</v>
          </cell>
          <cell r="J106">
            <v>0</v>
          </cell>
        </row>
        <row r="107">
          <cell r="B107" t="str">
            <v>Раствор строительный</v>
          </cell>
          <cell r="D107" t="str">
            <v>цементно-песчаный М100</v>
          </cell>
          <cell r="E107" t="str">
            <v>м3</v>
          </cell>
          <cell r="F107">
            <v>1.1000000000000001</v>
          </cell>
          <cell r="G107">
            <v>0.9</v>
          </cell>
          <cell r="H107">
            <v>0.9</v>
          </cell>
          <cell r="I107">
            <v>0</v>
          </cell>
          <cell r="J107">
            <v>0</v>
          </cell>
          <cell r="K107" t="str">
            <v>ГЭСН 12-01-015-03</v>
          </cell>
          <cell r="L107" t="str">
            <v>Закупка подрядчик</v>
          </cell>
        </row>
        <row r="108">
          <cell r="B108" t="str">
            <v>Монтаж водоприемных воронок, монтаж аэраторов</v>
          </cell>
          <cell r="J108">
            <v>0</v>
          </cell>
        </row>
        <row r="109">
          <cell r="B109" t="str">
            <v>Монтаж водоприемных воронок, Монтаж аэраторов</v>
          </cell>
          <cell r="J109">
            <v>0</v>
          </cell>
        </row>
        <row r="110">
          <cell r="B110" t="str">
            <v>Работы:</v>
          </cell>
          <cell r="J110">
            <v>0</v>
          </cell>
        </row>
        <row r="111">
          <cell r="B111" t="str">
            <v>Монтаж аэраторов</v>
          </cell>
          <cell r="E111" t="str">
            <v>шт</v>
          </cell>
          <cell r="G111">
            <v>11</v>
          </cell>
          <cell r="H111">
            <v>11</v>
          </cell>
          <cell r="I111">
            <v>0</v>
          </cell>
          <cell r="J111">
            <v>0</v>
          </cell>
        </row>
        <row r="112">
          <cell r="B112" t="str">
            <v>Материалы:</v>
          </cell>
          <cell r="J112">
            <v>0</v>
          </cell>
        </row>
        <row r="113">
          <cell r="B113" t="str">
            <v>Унифлекс ЭКП 10х1м</v>
          </cell>
          <cell r="D113" t="str">
            <v>ЭКП 10х1м</v>
          </cell>
          <cell r="E113" t="str">
            <v>м2</v>
          </cell>
          <cell r="F113">
            <v>1</v>
          </cell>
          <cell r="G113">
            <v>11</v>
          </cell>
          <cell r="H113">
            <v>11</v>
          </cell>
          <cell r="I113">
            <v>0</v>
          </cell>
          <cell r="J113">
            <v>0</v>
          </cell>
          <cell r="L113" t="str">
            <v>Закупка подрядчик</v>
          </cell>
        </row>
        <row r="114">
          <cell r="B114" t="str">
            <v>Унифлекс ЭПП 10х1м</v>
          </cell>
          <cell r="D114" t="str">
            <v>ЭПП 10х1м</v>
          </cell>
          <cell r="E114" t="str">
            <v>м2</v>
          </cell>
          <cell r="F114">
            <v>1</v>
          </cell>
          <cell r="G114">
            <v>11</v>
          </cell>
          <cell r="H114">
            <v>11</v>
          </cell>
          <cell r="I114">
            <v>0</v>
          </cell>
          <cell r="J114">
            <v>0</v>
          </cell>
          <cell r="L114" t="str">
            <v>Закупка подрядчик</v>
          </cell>
        </row>
        <row r="115">
          <cell r="B115" t="str">
            <v>Аэратор 160х460мм</v>
          </cell>
          <cell r="D115" t="str">
            <v>160х460мм</v>
          </cell>
          <cell r="E115" t="str">
            <v>шт</v>
          </cell>
          <cell r="G115">
            <v>11</v>
          </cell>
          <cell r="H115">
            <v>11</v>
          </cell>
          <cell r="I115">
            <v>0</v>
          </cell>
          <cell r="J115">
            <v>0</v>
          </cell>
          <cell r="K115" t="str">
            <v>Технониколь или анолог</v>
          </cell>
          <cell r="L115" t="str">
            <v>Закупка подрядчик</v>
          </cell>
        </row>
        <row r="116">
          <cell r="B116" t="str">
            <v>Работы:</v>
          </cell>
          <cell r="J116">
            <v>0</v>
          </cell>
        </row>
        <row r="117">
          <cell r="B117" t="str">
            <v>Монтаж водоприемных воронок</v>
          </cell>
          <cell r="E117" t="str">
            <v>шт</v>
          </cell>
          <cell r="G117">
            <v>6</v>
          </cell>
          <cell r="H117">
            <v>6</v>
          </cell>
          <cell r="I117">
            <v>0</v>
          </cell>
          <cell r="J117">
            <v>0</v>
          </cell>
        </row>
        <row r="118">
          <cell r="B118" t="str">
            <v>Материалы:</v>
          </cell>
          <cell r="J118">
            <v>0</v>
          </cell>
        </row>
        <row r="119">
          <cell r="B119" t="str">
            <v>Унифлекс ЭПП 10х1м</v>
          </cell>
          <cell r="D119" t="str">
            <v>ЭПП 10х1м</v>
          </cell>
          <cell r="E119" t="str">
            <v>м2</v>
          </cell>
          <cell r="F119">
            <v>1</v>
          </cell>
          <cell r="G119">
            <v>6</v>
          </cell>
          <cell r="H119">
            <v>6</v>
          </cell>
          <cell r="I119">
            <v>0</v>
          </cell>
          <cell r="J119">
            <v>0</v>
          </cell>
          <cell r="L119" t="str">
            <v>Закупка подрядчик</v>
          </cell>
        </row>
        <row r="120">
          <cell r="B120" t="str">
            <v>Пена монтажная противопожарная</v>
          </cell>
          <cell r="D120" t="str">
            <v>противопожарная</v>
          </cell>
          <cell r="E120" t="str">
            <v>баллон</v>
          </cell>
          <cell r="G120">
            <v>2</v>
          </cell>
          <cell r="H120">
            <v>2</v>
          </cell>
          <cell r="I120">
            <v>0</v>
          </cell>
          <cell r="J120">
            <v>0</v>
          </cell>
          <cell r="L120" t="str">
            <v>Закупка подрядчик</v>
          </cell>
        </row>
        <row r="121">
          <cell r="B121" t="str">
            <v>Воронка кровельная тип 1</v>
          </cell>
          <cell r="D121" t="str">
            <v>DN-110</v>
          </cell>
          <cell r="E121" t="str">
            <v>шт</v>
          </cell>
          <cell r="G121">
            <v>2</v>
          </cell>
          <cell r="H121">
            <v>2</v>
          </cell>
          <cell r="I121">
            <v>0</v>
          </cell>
          <cell r="J121">
            <v>0</v>
          </cell>
          <cell r="K121" t="str">
            <v>С отводом и листвоуловителем ТП-01.П.ПП черная, на козырьки 2-го этажа</v>
          </cell>
          <cell r="L121" t="str">
            <v>Закупка подрядчик</v>
          </cell>
        </row>
        <row r="122">
          <cell r="B122" t="str">
            <v>Воронка кровельная тип 2</v>
          </cell>
          <cell r="C122" t="str">
            <v>Татполимер</v>
          </cell>
          <cell r="D122" t="str">
            <v>DN-110</v>
          </cell>
          <cell r="E122" t="str">
            <v>шт</v>
          </cell>
          <cell r="G122">
            <v>4</v>
          </cell>
          <cell r="H122">
            <v>4</v>
          </cell>
          <cell r="I122">
            <v>0</v>
          </cell>
          <cell r="J122">
            <v>0</v>
          </cell>
          <cell r="K122" t="str">
            <v>Воронка кровельная ТП 01.100/6-Э с обжимным фланцем и электрообогревом, на основную кровлю и на кровлю террас</v>
          </cell>
          <cell r="L122" t="str">
            <v>Закупка подрядчик</v>
          </cell>
        </row>
        <row r="123">
          <cell r="B123" t="str">
            <v>Монтаж парапетных крышек</v>
          </cell>
          <cell r="J123">
            <v>0</v>
          </cell>
        </row>
        <row r="124">
          <cell r="B124" t="str">
            <v>Монтаж парапетных крышек</v>
          </cell>
          <cell r="J124">
            <v>0</v>
          </cell>
        </row>
        <row r="125">
          <cell r="B125" t="str">
            <v>Работы:</v>
          </cell>
          <cell r="J125">
            <v>0</v>
          </cell>
        </row>
        <row r="126">
          <cell r="B126" t="str">
            <v>Монтаж парапетных крышек</v>
          </cell>
          <cell r="E126" t="str">
            <v>пог. м</v>
          </cell>
          <cell r="G126">
            <v>121.31</v>
          </cell>
          <cell r="H126">
            <v>121.31</v>
          </cell>
          <cell r="I126">
            <v>0</v>
          </cell>
          <cell r="J126">
            <v>0</v>
          </cell>
        </row>
        <row r="127">
          <cell r="B127" t="str">
            <v>Материалы:</v>
          </cell>
          <cell r="J127">
            <v>0</v>
          </cell>
        </row>
        <row r="128">
          <cell r="B128" t="str">
            <v>Дюбель распорный полипропилен 6х120</v>
          </cell>
          <cell r="D128" t="str">
            <v>распорный полипропилен 6х120</v>
          </cell>
          <cell r="E128" t="str">
            <v>шт</v>
          </cell>
          <cell r="G128">
            <v>608</v>
          </cell>
          <cell r="H128">
            <v>608</v>
          </cell>
          <cell r="I128">
            <v>0</v>
          </cell>
          <cell r="J128">
            <v>0</v>
          </cell>
          <cell r="K128" t="str">
            <v>Крепление с шагом в 200мм</v>
          </cell>
          <cell r="L128" t="str">
            <v>Закупка подрядчик</v>
          </cell>
        </row>
        <row r="129">
          <cell r="B129" t="str">
            <v>Крышка парапетная оцинк.сталь 560мм 0,7мм RAL9004</v>
          </cell>
          <cell r="D129" t="str">
            <v>оцинк.сталь 560мм 0,7мм RAL9004</v>
          </cell>
          <cell r="E129" t="str">
            <v>пог. м</v>
          </cell>
          <cell r="F129">
            <v>1.05</v>
          </cell>
          <cell r="G129">
            <v>110.15</v>
          </cell>
          <cell r="H129">
            <v>110.15</v>
          </cell>
          <cell r="I129">
            <v>0</v>
          </cell>
          <cell r="J129">
            <v>0</v>
          </cell>
          <cell r="K129" t="str">
            <v>Ширина развертки - 20х50х90х560х120х50х20 мм.
10см перехлест,  2м длина профиля. Размеры уточнить по месту. Основная кровля.</v>
          </cell>
          <cell r="L129" t="str">
            <v>Закупка подрядчик</v>
          </cell>
        </row>
        <row r="130">
          <cell r="B130" t="str">
            <v>Крышка парапетная оцинк.сталь 460мм 0,7мм RAL9004</v>
          </cell>
          <cell r="D130" t="str">
            <v>оцинк.сталь 460мм 0,7мм RAL9004</v>
          </cell>
          <cell r="E130" t="str">
            <v>пог. м</v>
          </cell>
          <cell r="F130">
            <v>1.05</v>
          </cell>
          <cell r="G130">
            <v>17.23</v>
          </cell>
          <cell r="H130">
            <v>17.23</v>
          </cell>
          <cell r="I130">
            <v>0</v>
          </cell>
          <cell r="J130">
            <v>0</v>
          </cell>
          <cell r="K130" t="str">
            <v>Ширина развертки - 20х50х90х460х120х50х20 мм.
10см перехлест,  2м длина профиля. Размеры уточнить по месту. Терассы.</v>
          </cell>
          <cell r="L130" t="str">
            <v>Закупка подрядчик</v>
          </cell>
        </row>
        <row r="131">
          <cell r="B131" t="str">
            <v>Герметик гибридный полимерный</v>
          </cell>
          <cell r="C131" t="str">
            <v>Soudaseal 240 FC, Soudal</v>
          </cell>
          <cell r="D131" t="str">
            <v>гибридный полимерный</v>
          </cell>
          <cell r="E131" t="str">
            <v>туб.</v>
          </cell>
          <cell r="G131">
            <v>27</v>
          </cell>
          <cell r="H131">
            <v>27</v>
          </cell>
          <cell r="I131">
            <v>0</v>
          </cell>
          <cell r="J131">
            <v>0</v>
          </cell>
          <cell r="K131" t="str">
            <v>Soudaseal 240 FC (герметизация стыков)</v>
          </cell>
          <cell r="L131" t="str">
            <v>Закупка подрядчик</v>
          </cell>
        </row>
        <row r="132">
          <cell r="B132" t="str">
            <v>Саморезы кровельные 4,8х120</v>
          </cell>
          <cell r="D132" t="str">
            <v>кровельные 4,8х120</v>
          </cell>
          <cell r="E132" t="str">
            <v>шт</v>
          </cell>
          <cell r="G132">
            <v>608</v>
          </cell>
          <cell r="H132">
            <v>608</v>
          </cell>
          <cell r="I132">
            <v>0</v>
          </cell>
          <cell r="J132">
            <v>0</v>
          </cell>
          <cell r="L132" t="str">
            <v>Закупка подрядчик</v>
          </cell>
        </row>
      </sheetData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CB37BA-D2AC-479A-8B63-2B5E44DF9010}" name="Р" displayName="Р" ref="A3:F16" totalsRowCount="1" headerRowDxfId="20" headerRowBorderDxfId="19" tableBorderDxfId="18" totalsRowBorderDxfId="17">
  <autoFilter ref="A3:F15" xr:uid="{18CB37BA-D2AC-479A-8B63-2B5E44DF9010}"/>
  <tableColumns count="6">
    <tableColumn id="1" xr3:uid="{2265D822-CD46-4A2B-A463-47CE86C1EE06}" name="Наименование" totalsRowLabel="Итог" dataDxfId="16" totalsRowDxfId="15"/>
    <tableColumn id="2" xr3:uid="{ACDDED4B-EC88-4CE2-A350-40D4D81E67A2}" name="Ед. изм." dataDxfId="14" totalsRowDxfId="13"/>
    <tableColumn id="3" xr3:uid="{2A4EC7E4-8D4D-4F76-8A31-C70F39EF8D77}" name="Количество" dataDxfId="12" totalsRowDxfId="11"/>
    <tableColumn id="4" xr3:uid="{07A3463B-96C8-4749-A3BB-DF9FC9D2FE51}" name="Цена за ед., руб" totalsRowLabel="Итого:" dataDxfId="10" totalsRowDxfId="9"/>
    <tableColumn id="5" xr3:uid="{D3EF4C4C-3AB6-4D0E-AE9B-63A91241C765}" name="Сумма, руб" totalsRowFunction="sum" dataDxfId="8" totalsRowDxfId="7">
      <calculatedColumnFormula>ROUND(Р[[#This Row],[Количество]]*Р[[#This Row],[Цена за ед., руб]],2)</calculatedColumnFormula>
    </tableColumn>
    <tableColumn id="6" xr3:uid="{ADF60019-B1EB-4521-9624-30376593BAE3}" name="Примечание" dataDxfId="6" totalsRowDxf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M85"/>
  <sheetViews>
    <sheetView tabSelected="1" workbookViewId="0">
      <pane ySplit="7" topLeftCell="A8" activePane="bottomLeft" state="frozen"/>
      <selection pane="bottomLeft" activeCell="N27" sqref="M27:N33"/>
    </sheetView>
  </sheetViews>
  <sheetFormatPr defaultColWidth="10.5" defaultRowHeight="11.25" outlineLevelRow="4" x14ac:dyDescent="0.2"/>
  <cols>
    <col min="1" max="1" width="9.83203125" style="43" customWidth="1"/>
    <col min="2" max="2" width="36" style="43" customWidth="1"/>
    <col min="3" max="3" width="15.83203125" style="43" customWidth="1"/>
    <col min="4" max="4" width="17" style="43" customWidth="1"/>
    <col min="5" max="5" width="10" style="43" customWidth="1"/>
    <col min="6" max="6" width="9.6640625" style="43" customWidth="1"/>
    <col min="7" max="7" width="10.5" style="43" customWidth="1"/>
    <col min="8" max="8" width="14.6640625" style="43" customWidth="1"/>
    <col min="9" max="9" width="16" style="43" customWidth="1"/>
    <col min="10" max="10" width="17" style="43" customWidth="1"/>
    <col min="11" max="11" width="26.83203125" style="43" customWidth="1"/>
    <col min="12" max="12" width="23.33203125" style="43" customWidth="1"/>
    <col min="13" max="16384" width="10.5" style="44"/>
  </cols>
  <sheetData>
    <row r="2" spans="1:12" x14ac:dyDescent="0.2">
      <c r="B2" s="100" t="s">
        <v>95</v>
      </c>
      <c r="C2" s="100"/>
      <c r="D2" s="100"/>
      <c r="E2" s="100"/>
      <c r="F2" s="100"/>
      <c r="G2" s="100"/>
      <c r="H2" s="100"/>
      <c r="I2" s="100"/>
      <c r="J2" s="100"/>
    </row>
    <row r="3" spans="1:12" x14ac:dyDescent="0.2">
      <c r="B3" s="101" t="s">
        <v>0</v>
      </c>
      <c r="C3" s="101"/>
      <c r="D3" s="101"/>
      <c r="E3" s="101"/>
      <c r="F3" s="101"/>
      <c r="G3" s="101"/>
      <c r="H3" s="101"/>
      <c r="I3" s="101"/>
      <c r="J3" s="101"/>
    </row>
    <row r="4" spans="1:12" x14ac:dyDescent="0.2">
      <c r="B4" s="101" t="s">
        <v>1</v>
      </c>
      <c r="C4" s="101"/>
      <c r="D4" s="101"/>
      <c r="E4" s="101"/>
      <c r="F4" s="101"/>
      <c r="G4" s="101"/>
      <c r="H4" s="101"/>
      <c r="I4" s="101"/>
      <c r="J4" s="101"/>
    </row>
    <row r="6" spans="1:12" x14ac:dyDescent="0.2">
      <c r="A6" s="92" t="s">
        <v>2</v>
      </c>
      <c r="B6" s="92" t="s">
        <v>3</v>
      </c>
      <c r="C6" s="102" t="s">
        <v>4</v>
      </c>
      <c r="D6" s="104" t="s">
        <v>5</v>
      </c>
      <c r="E6" s="92" t="s">
        <v>6</v>
      </c>
      <c r="F6" s="94" t="s">
        <v>7</v>
      </c>
      <c r="G6" s="106" t="s">
        <v>8</v>
      </c>
      <c r="H6" s="92" t="s">
        <v>9</v>
      </c>
      <c r="I6" s="94" t="s">
        <v>10</v>
      </c>
      <c r="J6" s="94" t="s">
        <v>11</v>
      </c>
      <c r="K6" s="92" t="s">
        <v>12</v>
      </c>
      <c r="L6" s="94" t="s">
        <v>13</v>
      </c>
    </row>
    <row r="7" spans="1:12" x14ac:dyDescent="0.2">
      <c r="A7" s="93"/>
      <c r="B7" s="93"/>
      <c r="C7" s="103"/>
      <c r="D7" s="105"/>
      <c r="E7" s="93"/>
      <c r="F7" s="95"/>
      <c r="G7" s="107"/>
      <c r="H7" s="93"/>
      <c r="I7" s="95"/>
      <c r="J7" s="95"/>
      <c r="K7" s="93"/>
      <c r="L7" s="95"/>
    </row>
    <row r="8" spans="1:12" x14ac:dyDescent="0.2">
      <c r="A8" s="4" t="s">
        <v>14</v>
      </c>
      <c r="B8" s="45" t="s">
        <v>15</v>
      </c>
      <c r="C8" s="3"/>
      <c r="D8" s="3"/>
      <c r="E8" s="4"/>
      <c r="F8" s="5"/>
      <c r="G8" s="5"/>
      <c r="H8" s="5"/>
      <c r="I8" s="36"/>
      <c r="J8" s="36"/>
      <c r="K8" s="3"/>
      <c r="L8" s="3"/>
    </row>
    <row r="9" spans="1:12" ht="22.5" outlineLevel="1" x14ac:dyDescent="0.2">
      <c r="A9" s="7" t="s">
        <v>16</v>
      </c>
      <c r="B9" s="46" t="s">
        <v>17</v>
      </c>
      <c r="C9" s="6"/>
      <c r="D9" s="6"/>
      <c r="E9" s="7"/>
      <c r="F9" s="8"/>
      <c r="G9" s="8"/>
      <c r="H9" s="8"/>
      <c r="I9" s="37"/>
      <c r="J9" s="37">
        <f>SUM($J$46,$J$10)</f>
        <v>0</v>
      </c>
      <c r="K9" s="6"/>
      <c r="L9" s="6"/>
    </row>
    <row r="10" spans="1:12" outlineLevel="2" x14ac:dyDescent="0.2">
      <c r="A10" s="10" t="s">
        <v>18</v>
      </c>
      <c r="B10" s="47" t="s">
        <v>19</v>
      </c>
      <c r="C10" s="9"/>
      <c r="D10" s="9"/>
      <c r="E10" s="10"/>
      <c r="F10" s="11"/>
      <c r="G10" s="12"/>
      <c r="H10" s="12"/>
      <c r="I10" s="38"/>
      <c r="J10" s="38">
        <f>SUM($J$11)</f>
        <v>0</v>
      </c>
      <c r="K10" s="13"/>
      <c r="L10" s="13"/>
    </row>
    <row r="11" spans="1:12" outlineLevel="3" x14ac:dyDescent="0.2">
      <c r="A11" s="10" t="s">
        <v>20</v>
      </c>
      <c r="B11" s="47" t="s">
        <v>19</v>
      </c>
      <c r="C11" s="9"/>
      <c r="D11" s="9"/>
      <c r="E11" s="10"/>
      <c r="F11" s="11"/>
      <c r="G11" s="12"/>
      <c r="H11" s="12"/>
      <c r="I11" s="38"/>
      <c r="J11" s="38">
        <f>SUM($J$44,$J$42,$J$40,$J$38,$J$34,$J$32,$J$28,$J$26,$J$23,$J$21,$J$18,$J$16,$J$14,$J$12)</f>
        <v>0</v>
      </c>
      <c r="K11" s="13"/>
      <c r="L11" s="13"/>
    </row>
    <row r="12" spans="1:12" outlineLevel="4" x14ac:dyDescent="0.2">
      <c r="A12" s="48"/>
      <c r="B12" s="47" t="s">
        <v>21</v>
      </c>
      <c r="C12" s="14"/>
      <c r="D12" s="14"/>
      <c r="E12" s="14"/>
      <c r="F12" s="14"/>
      <c r="G12" s="14"/>
      <c r="H12" s="14"/>
      <c r="I12" s="39"/>
      <c r="J12" s="40">
        <f>SUM($J$13)</f>
        <v>0</v>
      </c>
      <c r="K12" s="12"/>
      <c r="L12" s="12"/>
    </row>
    <row r="13" spans="1:12" ht="22.5" outlineLevel="4" x14ac:dyDescent="0.2">
      <c r="A13" s="16"/>
      <c r="B13" s="49" t="s">
        <v>22</v>
      </c>
      <c r="C13" s="15"/>
      <c r="D13" s="15"/>
      <c r="E13" s="16" t="s">
        <v>23</v>
      </c>
      <c r="F13" s="17"/>
      <c r="G13" s="18">
        <v>25.77</v>
      </c>
      <c r="H13" s="18">
        <f>SUM($G$13:$G$13)</f>
        <v>25.77</v>
      </c>
      <c r="I13" s="41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41">
        <f>ROUND($H$13*$I$13,2)</f>
        <v>0</v>
      </c>
      <c r="K13" s="15" t="s">
        <v>24</v>
      </c>
      <c r="L13" s="15"/>
    </row>
    <row r="14" spans="1:12" outlineLevel="4" x14ac:dyDescent="0.2">
      <c r="A14" s="48"/>
      <c r="B14" s="47" t="s">
        <v>25</v>
      </c>
      <c r="C14" s="14"/>
      <c r="D14" s="14"/>
      <c r="E14" s="14"/>
      <c r="F14" s="14"/>
      <c r="G14" s="14"/>
      <c r="H14" s="14"/>
      <c r="I14" s="39"/>
      <c r="J14" s="40">
        <f>SUM($J$15)</f>
        <v>0</v>
      </c>
      <c r="K14" s="12"/>
      <c r="L14" s="12"/>
    </row>
    <row r="15" spans="1:12" ht="22.5" outlineLevel="4" x14ac:dyDescent="0.2">
      <c r="A15" s="16" t="s">
        <v>26</v>
      </c>
      <c r="B15" s="49" t="s">
        <v>98</v>
      </c>
      <c r="C15" s="15" t="s">
        <v>27</v>
      </c>
      <c r="D15" s="15" t="s">
        <v>28</v>
      </c>
      <c r="E15" s="16" t="s">
        <v>29</v>
      </c>
      <c r="F15" s="19">
        <v>0.3</v>
      </c>
      <c r="G15" s="18">
        <v>7.73</v>
      </c>
      <c r="H15" s="18">
        <f>SUM($G$15:$G$15)</f>
        <v>7.73</v>
      </c>
      <c r="I15" s="85">
        <f>VLOOKUP(B15,Материалы!$B$3:$J$20,7,0)</f>
        <v>0</v>
      </c>
      <c r="J15" s="41">
        <f>ROUND($H$15*$I$15,2)</f>
        <v>0</v>
      </c>
      <c r="K15" s="15" t="s">
        <v>30</v>
      </c>
      <c r="L15" s="15" t="s">
        <v>89</v>
      </c>
    </row>
    <row r="16" spans="1:12" outlineLevel="4" x14ac:dyDescent="0.2">
      <c r="A16" s="48"/>
      <c r="B16" s="47" t="s">
        <v>21</v>
      </c>
      <c r="C16" s="14"/>
      <c r="D16" s="14"/>
      <c r="E16" s="14"/>
      <c r="F16" s="14"/>
      <c r="G16" s="14"/>
      <c r="H16" s="14"/>
      <c r="I16" s="39"/>
      <c r="J16" s="40">
        <f>SUM($J$17)</f>
        <v>0</v>
      </c>
      <c r="K16" s="12"/>
      <c r="L16" s="12"/>
    </row>
    <row r="17" spans="1:12" ht="33.75" outlineLevel="4" x14ac:dyDescent="0.2">
      <c r="A17" s="16"/>
      <c r="B17" s="49" t="s">
        <v>31</v>
      </c>
      <c r="C17" s="15"/>
      <c r="D17" s="15"/>
      <c r="E17" s="16" t="s">
        <v>23</v>
      </c>
      <c r="F17" s="17"/>
      <c r="G17" s="18">
        <v>25.77</v>
      </c>
      <c r="H17" s="18">
        <f>SUM($G$17:$G$17)</f>
        <v>25.77</v>
      </c>
      <c r="I17" s="41">
        <f t="array" ref="I17">INDEX(Р[Цена за ед., руб],MATCH(1,IF(($B17=Р[Наименование])*($K17=Р[Примечание]),{1},($B17=Р[Наименование])*($K17=Р[Примечание])),0))</f>
        <v>0</v>
      </c>
      <c r="J17" s="41">
        <f>ROUND($H$17*$I$17,2)</f>
        <v>0</v>
      </c>
      <c r="K17" s="15"/>
      <c r="L17" s="15"/>
    </row>
    <row r="18" spans="1:12" outlineLevel="4" x14ac:dyDescent="0.2">
      <c r="A18" s="48"/>
      <c r="B18" s="47" t="s">
        <v>25</v>
      </c>
      <c r="C18" s="14"/>
      <c r="D18" s="14"/>
      <c r="E18" s="14"/>
      <c r="F18" s="14"/>
      <c r="G18" s="14"/>
      <c r="H18" s="14"/>
      <c r="I18" s="39"/>
      <c r="J18" s="40">
        <f>SUM($J$19:$J$20)</f>
        <v>0</v>
      </c>
      <c r="K18" s="12"/>
      <c r="L18" s="12"/>
    </row>
    <row r="19" spans="1:12" ht="22.5" outlineLevel="4" x14ac:dyDescent="0.2">
      <c r="A19" s="16" t="s">
        <v>26</v>
      </c>
      <c r="B19" s="49" t="s">
        <v>32</v>
      </c>
      <c r="C19" s="15"/>
      <c r="D19" s="15" t="s">
        <v>33</v>
      </c>
      <c r="E19" s="16" t="s">
        <v>23</v>
      </c>
      <c r="F19" s="19">
        <v>1.1000000000000001</v>
      </c>
      <c r="G19" s="20">
        <v>30</v>
      </c>
      <c r="H19" s="20">
        <f>SUM($G$19:$G$19)</f>
        <v>30</v>
      </c>
      <c r="I19" s="85">
        <f>VLOOKUP(B19,Материалы!$B$3:$J$20,7,0)</f>
        <v>0</v>
      </c>
      <c r="J19" s="41">
        <f>ROUND($H$19*$I$19,2)</f>
        <v>0</v>
      </c>
      <c r="K19" s="15" t="s">
        <v>34</v>
      </c>
      <c r="L19" s="15" t="s">
        <v>89</v>
      </c>
    </row>
    <row r="20" spans="1:12" ht="33.75" outlineLevel="4" x14ac:dyDescent="0.2">
      <c r="A20" s="16" t="s">
        <v>35</v>
      </c>
      <c r="B20" s="49" t="s">
        <v>99</v>
      </c>
      <c r="C20" s="15" t="s">
        <v>36</v>
      </c>
      <c r="D20" s="15" t="s">
        <v>37</v>
      </c>
      <c r="E20" s="16" t="s">
        <v>38</v>
      </c>
      <c r="F20" s="17"/>
      <c r="G20" s="20">
        <v>1</v>
      </c>
      <c r="H20" s="20">
        <f>SUM($G$20:$G$20)</f>
        <v>1</v>
      </c>
      <c r="I20" s="85">
        <f>VLOOKUP(B20,Материалы!$B$3:$J$20,7,0)</f>
        <v>0</v>
      </c>
      <c r="J20" s="41">
        <f>ROUND($H$20*$I$20,2)</f>
        <v>0</v>
      </c>
      <c r="K20" s="15" t="s">
        <v>39</v>
      </c>
      <c r="L20" s="15" t="s">
        <v>89</v>
      </c>
    </row>
    <row r="21" spans="1:12" outlineLevel="4" x14ac:dyDescent="0.2">
      <c r="A21" s="48"/>
      <c r="B21" s="47" t="s">
        <v>21</v>
      </c>
      <c r="C21" s="14"/>
      <c r="D21" s="14"/>
      <c r="E21" s="14"/>
      <c r="F21" s="14"/>
      <c r="G21" s="14"/>
      <c r="H21" s="14"/>
      <c r="I21" s="39"/>
      <c r="J21" s="40">
        <f>SUM($J$22)</f>
        <v>0</v>
      </c>
      <c r="K21" s="12"/>
      <c r="L21" s="12"/>
    </row>
    <row r="22" spans="1:12" outlineLevel="4" x14ac:dyDescent="0.2">
      <c r="A22" s="16"/>
      <c r="B22" s="49" t="s">
        <v>40</v>
      </c>
      <c r="C22" s="15"/>
      <c r="D22" s="15"/>
      <c r="E22" s="16" t="s">
        <v>23</v>
      </c>
      <c r="F22" s="17"/>
      <c r="G22" s="18">
        <v>25.77</v>
      </c>
      <c r="H22" s="18">
        <f>SUM($G$22:$G$22)</f>
        <v>25.77</v>
      </c>
      <c r="I22" s="41">
        <f t="array" ref="I22">INDEX(Р[Цена за ед., руб],MATCH(1,IF(($B22=Р[Наименование])*($K22=Р[Примечание]),{1},($B22=Р[Наименование])*($K22=Р[Примечание])),0))</f>
        <v>0</v>
      </c>
      <c r="J22" s="41">
        <f>ROUND($H$22*$I$22,2)</f>
        <v>0</v>
      </c>
      <c r="K22" s="15"/>
      <c r="L22" s="15"/>
    </row>
    <row r="23" spans="1:12" outlineLevel="4" x14ac:dyDescent="0.2">
      <c r="A23" s="48"/>
      <c r="B23" s="47" t="s">
        <v>25</v>
      </c>
      <c r="C23" s="14"/>
      <c r="D23" s="14"/>
      <c r="E23" s="14"/>
      <c r="F23" s="14"/>
      <c r="G23" s="14"/>
      <c r="H23" s="14"/>
      <c r="I23" s="39"/>
      <c r="J23" s="40">
        <f>SUM($J$24:$J$25)</f>
        <v>0</v>
      </c>
      <c r="K23" s="12"/>
      <c r="L23" s="12"/>
    </row>
    <row r="24" spans="1:12" ht="33.75" outlineLevel="4" x14ac:dyDescent="0.2">
      <c r="A24" s="16" t="s">
        <v>26</v>
      </c>
      <c r="B24" s="49" t="s">
        <v>100</v>
      </c>
      <c r="C24" s="15"/>
      <c r="D24" s="15" t="s">
        <v>41</v>
      </c>
      <c r="E24" s="16" t="s">
        <v>42</v>
      </c>
      <c r="F24" s="19">
        <v>1.03</v>
      </c>
      <c r="G24" s="18">
        <v>5.31</v>
      </c>
      <c r="H24" s="18">
        <f>SUM($G$24:$G$24)</f>
        <v>5.31</v>
      </c>
      <c r="I24" s="85">
        <f>VLOOKUP(B24,Материалы!$B$3:$J$20,7,0)</f>
        <v>0</v>
      </c>
      <c r="J24" s="41">
        <f>ROUND($H$24*$I$24,2)</f>
        <v>0</v>
      </c>
      <c r="K24" s="15" t="s">
        <v>43</v>
      </c>
      <c r="L24" s="15" t="s">
        <v>89</v>
      </c>
    </row>
    <row r="25" spans="1:12" outlineLevel="4" x14ac:dyDescent="0.2">
      <c r="A25" s="16" t="s">
        <v>35</v>
      </c>
      <c r="B25" s="49" t="s">
        <v>101</v>
      </c>
      <c r="C25" s="15"/>
      <c r="D25" s="15" t="s">
        <v>44</v>
      </c>
      <c r="E25" s="16" t="s">
        <v>45</v>
      </c>
      <c r="F25" s="17"/>
      <c r="G25" s="20">
        <v>1</v>
      </c>
      <c r="H25" s="20">
        <f>SUM($G$25:$G$25)</f>
        <v>1</v>
      </c>
      <c r="I25" s="85">
        <f>VLOOKUP(B25,Материалы!$B$3:$J$20,7,0)</f>
        <v>0</v>
      </c>
      <c r="J25" s="41">
        <f>ROUND($H$25*$I$25,2)</f>
        <v>0</v>
      </c>
      <c r="K25" s="15"/>
      <c r="L25" s="15" t="s">
        <v>89</v>
      </c>
    </row>
    <row r="26" spans="1:12" outlineLevel="4" x14ac:dyDescent="0.2">
      <c r="A26" s="48"/>
      <c r="B26" s="47" t="s">
        <v>21</v>
      </c>
      <c r="C26" s="14"/>
      <c r="D26" s="14"/>
      <c r="E26" s="14"/>
      <c r="F26" s="14"/>
      <c r="G26" s="14"/>
      <c r="H26" s="14"/>
      <c r="I26" s="39"/>
      <c r="J26" s="40">
        <f>SUM($J$27)</f>
        <v>0</v>
      </c>
      <c r="K26" s="12"/>
      <c r="L26" s="12"/>
    </row>
    <row r="27" spans="1:12" ht="22.5" outlineLevel="4" x14ac:dyDescent="0.2">
      <c r="A27" s="16"/>
      <c r="B27" s="49" t="s">
        <v>46</v>
      </c>
      <c r="C27" s="15"/>
      <c r="D27" s="15"/>
      <c r="E27" s="16" t="s">
        <v>23</v>
      </c>
      <c r="F27" s="17"/>
      <c r="G27" s="18">
        <v>25.77</v>
      </c>
      <c r="H27" s="18">
        <f>SUM($G$27:$G$27)</f>
        <v>25.77</v>
      </c>
      <c r="I27" s="41">
        <f t="array" ref="I27">INDEX(Р[Цена за ед., руб],MATCH(1,IF(($B27=Р[Наименование])*($K27=Р[Примечание]),{1},($B27=Р[Наименование])*($K27=Р[Примечание])),0))</f>
        <v>0</v>
      </c>
      <c r="J27" s="41">
        <f>ROUND($H$27*$I$27,2)</f>
        <v>0</v>
      </c>
      <c r="K27" s="15"/>
      <c r="L27" s="15"/>
    </row>
    <row r="28" spans="1:12" outlineLevel="4" x14ac:dyDescent="0.2">
      <c r="A28" s="48"/>
      <c r="B28" s="47" t="s">
        <v>25</v>
      </c>
      <c r="C28" s="14"/>
      <c r="D28" s="14"/>
      <c r="E28" s="14"/>
      <c r="F28" s="14"/>
      <c r="G28" s="14"/>
      <c r="H28" s="14"/>
      <c r="I28" s="39"/>
      <c r="J28" s="40">
        <f>SUM($J$29:$J$31)</f>
        <v>0</v>
      </c>
      <c r="K28" s="12"/>
      <c r="L28" s="12"/>
    </row>
    <row r="29" spans="1:12" outlineLevel="4" x14ac:dyDescent="0.2">
      <c r="A29" s="16" t="s">
        <v>26</v>
      </c>
      <c r="B29" s="49" t="s">
        <v>102</v>
      </c>
      <c r="C29" s="15"/>
      <c r="D29" s="15" t="s">
        <v>47</v>
      </c>
      <c r="E29" s="16" t="s">
        <v>23</v>
      </c>
      <c r="F29" s="19">
        <v>1.1399999999999999</v>
      </c>
      <c r="G29" s="18">
        <v>29.37</v>
      </c>
      <c r="H29" s="18">
        <f>SUM($G$29:$G$29)</f>
        <v>29.37</v>
      </c>
      <c r="I29" s="85">
        <f>VLOOKUP(B29,Материалы!$B$3:$J$20,7,0)</f>
        <v>0</v>
      </c>
      <c r="J29" s="41">
        <f>ROUND($H$29*$I$29,2)</f>
        <v>0</v>
      </c>
      <c r="K29" s="15"/>
      <c r="L29" s="15" t="s">
        <v>89</v>
      </c>
    </row>
    <row r="30" spans="1:12" outlineLevel="4" x14ac:dyDescent="0.2">
      <c r="A30" s="16" t="s">
        <v>35</v>
      </c>
      <c r="B30" s="49" t="s">
        <v>103</v>
      </c>
      <c r="C30" s="15"/>
      <c r="D30" s="15" t="s">
        <v>48</v>
      </c>
      <c r="E30" s="16" t="s">
        <v>23</v>
      </c>
      <c r="F30" s="19">
        <v>1.1599999999999999</v>
      </c>
      <c r="G30" s="18">
        <v>29.89</v>
      </c>
      <c r="H30" s="18">
        <f>SUM($G$30:$G$30)</f>
        <v>29.89</v>
      </c>
      <c r="I30" s="85">
        <f>VLOOKUP(B30,Материалы!$B$3:$J$20,7,0)</f>
        <v>0</v>
      </c>
      <c r="J30" s="41">
        <f>ROUND($H$30*$I$30,2)</f>
        <v>0</v>
      </c>
      <c r="K30" s="15"/>
      <c r="L30" s="15" t="s">
        <v>89</v>
      </c>
    </row>
    <row r="31" spans="1:12" outlineLevel="4" x14ac:dyDescent="0.2">
      <c r="A31" s="16" t="s">
        <v>49</v>
      </c>
      <c r="B31" s="49" t="s">
        <v>50</v>
      </c>
      <c r="C31" s="15"/>
      <c r="D31" s="15"/>
      <c r="E31" s="16" t="s">
        <v>29</v>
      </c>
      <c r="F31" s="19">
        <v>0.94</v>
      </c>
      <c r="G31" s="18">
        <v>24.22</v>
      </c>
      <c r="H31" s="18">
        <f>SUM($G$31:$G$31)</f>
        <v>24.22</v>
      </c>
      <c r="I31" s="85">
        <f>VLOOKUP(B31,Материалы!$B$3:$J$20,7,0)</f>
        <v>0</v>
      </c>
      <c r="J31" s="41">
        <f>ROUND($H$31*$I$31,2)</f>
        <v>0</v>
      </c>
      <c r="K31" s="15"/>
      <c r="L31" s="15" t="s">
        <v>89</v>
      </c>
    </row>
    <row r="32" spans="1:12" outlineLevel="4" x14ac:dyDescent="0.2">
      <c r="A32" s="48"/>
      <c r="B32" s="47" t="s">
        <v>21</v>
      </c>
      <c r="C32" s="14"/>
      <c r="D32" s="14"/>
      <c r="E32" s="14"/>
      <c r="F32" s="14"/>
      <c r="G32" s="14"/>
      <c r="H32" s="14"/>
      <c r="I32" s="39"/>
      <c r="J32" s="40">
        <f>SUM($J$33)</f>
        <v>0</v>
      </c>
      <c r="K32" s="12"/>
      <c r="L32" s="12"/>
    </row>
    <row r="33" spans="1:13" ht="33.75" outlineLevel="4" x14ac:dyDescent="0.2">
      <c r="A33" s="16"/>
      <c r="B33" s="49" t="s">
        <v>51</v>
      </c>
      <c r="C33" s="15"/>
      <c r="D33" s="15"/>
      <c r="E33" s="16" t="s">
        <v>23</v>
      </c>
      <c r="F33" s="17"/>
      <c r="G33" s="18">
        <v>25.77</v>
      </c>
      <c r="H33" s="18">
        <f>SUM($G$33:$G$33)</f>
        <v>25.77</v>
      </c>
      <c r="I33" s="41">
        <f t="array" ref="I33">INDEX(Р[Цена за ед., руб],MATCH(1,IF(($B33=Р[Наименование])*($K33=Р[Примечание]),{1},($B33=Р[Наименование])*($K33=Р[Примечание])),0))</f>
        <v>0</v>
      </c>
      <c r="J33" s="41">
        <f>ROUND($H$33*$I$33,2)</f>
        <v>0</v>
      </c>
      <c r="K33" s="15"/>
      <c r="L33" s="15"/>
    </row>
    <row r="34" spans="1:13" outlineLevel="4" x14ac:dyDescent="0.2">
      <c r="A34" s="48"/>
      <c r="B34" s="47" t="s">
        <v>25</v>
      </c>
      <c r="C34" s="14"/>
      <c r="D34" s="14"/>
      <c r="E34" s="14"/>
      <c r="F34" s="14"/>
      <c r="G34" s="14"/>
      <c r="H34" s="14"/>
      <c r="I34" s="39"/>
      <c r="J34" s="40">
        <f>SUM($J$35:$J$37)</f>
        <v>0</v>
      </c>
      <c r="K34" s="12"/>
      <c r="L34" s="12"/>
    </row>
    <row r="35" spans="1:13" s="62" customFormat="1" outlineLevel="4" x14ac:dyDescent="0.2">
      <c r="A35" s="56" t="s">
        <v>26</v>
      </c>
      <c r="B35" s="57" t="s">
        <v>104</v>
      </c>
      <c r="C35" s="58"/>
      <c r="D35" s="58" t="s">
        <v>52</v>
      </c>
      <c r="E35" s="56" t="s">
        <v>23</v>
      </c>
      <c r="F35" s="59">
        <v>2.0499999999999998</v>
      </c>
      <c r="G35" s="60">
        <f>ROUND(G33*F35,2)</f>
        <v>52.83</v>
      </c>
      <c r="H35" s="60">
        <f>SUM($G$35:$G$35)</f>
        <v>52.83</v>
      </c>
      <c r="I35" s="85">
        <f>VLOOKUP(B35,Материалы!$B$3:$J$20,7,0)</f>
        <v>0</v>
      </c>
      <c r="J35" s="61">
        <f>ROUND($H$35*$I$35,2)</f>
        <v>0</v>
      </c>
      <c r="K35" s="58"/>
      <c r="L35" s="15" t="s">
        <v>89</v>
      </c>
    </row>
    <row r="36" spans="1:13" ht="33.75" outlineLevel="4" x14ac:dyDescent="0.2">
      <c r="A36" s="16" t="s">
        <v>35</v>
      </c>
      <c r="B36" s="49" t="s">
        <v>105</v>
      </c>
      <c r="C36" s="15"/>
      <c r="D36" s="15" t="s">
        <v>53</v>
      </c>
      <c r="E36" s="16" t="s">
        <v>38</v>
      </c>
      <c r="F36" s="19">
        <v>4</v>
      </c>
      <c r="G36" s="20">
        <v>104</v>
      </c>
      <c r="H36" s="20">
        <f>SUM($G$36:$G$36)</f>
        <v>104</v>
      </c>
      <c r="I36" s="85">
        <f>VLOOKUP(B36,Материалы!$B$3:$J$20,7,0)</f>
        <v>0</v>
      </c>
      <c r="J36" s="41">
        <f>ROUND($H$36*$I$36,2)</f>
        <v>0</v>
      </c>
      <c r="K36" s="15"/>
      <c r="L36" s="15" t="s">
        <v>89</v>
      </c>
      <c r="M36" s="62"/>
    </row>
    <row r="37" spans="1:13" outlineLevel="4" x14ac:dyDescent="0.2">
      <c r="A37" s="16" t="s">
        <v>49</v>
      </c>
      <c r="B37" s="49" t="s">
        <v>106</v>
      </c>
      <c r="C37" s="15"/>
      <c r="D37" s="15" t="s">
        <v>54</v>
      </c>
      <c r="E37" s="16" t="s">
        <v>38</v>
      </c>
      <c r="F37" s="19">
        <v>5</v>
      </c>
      <c r="G37" s="20">
        <v>129</v>
      </c>
      <c r="H37" s="20">
        <f>SUM($G$37:$G$37)</f>
        <v>129</v>
      </c>
      <c r="I37" s="85">
        <f>VLOOKUP(B37,Материалы!$B$3:$J$20,7,0)</f>
        <v>0</v>
      </c>
      <c r="J37" s="41">
        <f>ROUND($H$37*$I$37,2)</f>
        <v>0</v>
      </c>
      <c r="K37" s="15"/>
      <c r="L37" s="15" t="s">
        <v>89</v>
      </c>
      <c r="M37" s="62"/>
    </row>
    <row r="38" spans="1:13" outlineLevel="4" x14ac:dyDescent="0.2">
      <c r="A38" s="48"/>
      <c r="B38" s="47" t="s">
        <v>21</v>
      </c>
      <c r="C38" s="14"/>
      <c r="D38" s="14"/>
      <c r="E38" s="14"/>
      <c r="F38" s="14"/>
      <c r="G38" s="14"/>
      <c r="H38" s="14"/>
      <c r="I38" s="39"/>
      <c r="J38" s="40">
        <f>SUM($J$39)</f>
        <v>0</v>
      </c>
      <c r="K38" s="12"/>
      <c r="L38" s="12"/>
    </row>
    <row r="39" spans="1:13" ht="22.5" outlineLevel="4" x14ac:dyDescent="0.2">
      <c r="A39" s="16"/>
      <c r="B39" s="49" t="s">
        <v>55</v>
      </c>
      <c r="C39" s="15"/>
      <c r="D39" s="15"/>
      <c r="E39" s="16" t="s">
        <v>23</v>
      </c>
      <c r="F39" s="17"/>
      <c r="G39" s="18">
        <v>25.77</v>
      </c>
      <c r="H39" s="18">
        <f>SUM($G$39:$G$39)</f>
        <v>25.77</v>
      </c>
      <c r="I39" s="41">
        <f t="array" ref="I39">INDEX(Р[Цена за ед., руб],MATCH(1,IF(($B39=Р[Наименование])*($K39=Р[Примечание]),{1},($B39=Р[Наименование])*($K39=Р[Примечание])),0))</f>
        <v>0</v>
      </c>
      <c r="J39" s="41">
        <f>ROUND($H$39*$I$39,2)</f>
        <v>0</v>
      </c>
      <c r="K39" s="15" t="s">
        <v>56</v>
      </c>
      <c r="L39" s="15"/>
    </row>
    <row r="40" spans="1:13" outlineLevel="4" x14ac:dyDescent="0.2">
      <c r="A40" s="48"/>
      <c r="B40" s="47" t="s">
        <v>25</v>
      </c>
      <c r="C40" s="14"/>
      <c r="D40" s="14"/>
      <c r="E40" s="14"/>
      <c r="F40" s="14"/>
      <c r="G40" s="14"/>
      <c r="H40" s="14"/>
      <c r="I40" s="39"/>
      <c r="J40" s="40">
        <f>SUM($J$41)</f>
        <v>0</v>
      </c>
      <c r="K40" s="12"/>
      <c r="L40" s="12"/>
    </row>
    <row r="41" spans="1:13" outlineLevel="4" x14ac:dyDescent="0.2">
      <c r="A41" s="16" t="s">
        <v>26</v>
      </c>
      <c r="B41" s="49" t="s">
        <v>57</v>
      </c>
      <c r="C41" s="15"/>
      <c r="D41" s="15" t="s">
        <v>58</v>
      </c>
      <c r="E41" s="16" t="s">
        <v>42</v>
      </c>
      <c r="F41" s="19">
        <v>1.05</v>
      </c>
      <c r="G41" s="18">
        <v>3.16</v>
      </c>
      <c r="H41" s="18">
        <f>SUM($G$41:$G$41)</f>
        <v>3.16</v>
      </c>
      <c r="I41" s="85">
        <f>VLOOKUP(B41,Материалы!$B$3:$J$20,7,0)</f>
        <v>0</v>
      </c>
      <c r="J41" s="41">
        <f>ROUND($H$41*$I$41,2)</f>
        <v>0</v>
      </c>
      <c r="K41" s="15"/>
      <c r="L41" s="15" t="s">
        <v>89</v>
      </c>
    </row>
    <row r="42" spans="1:13" outlineLevel="4" x14ac:dyDescent="0.2">
      <c r="A42" s="48"/>
      <c r="B42" s="47" t="s">
        <v>21</v>
      </c>
      <c r="C42" s="14"/>
      <c r="D42" s="14"/>
      <c r="E42" s="14"/>
      <c r="F42" s="14"/>
      <c r="G42" s="14"/>
      <c r="H42" s="14"/>
      <c r="I42" s="39"/>
      <c r="J42" s="40">
        <f>SUM($J$43)</f>
        <v>0</v>
      </c>
      <c r="K42" s="12"/>
      <c r="L42" s="12"/>
    </row>
    <row r="43" spans="1:13" outlineLevel="4" x14ac:dyDescent="0.2">
      <c r="A43" s="16"/>
      <c r="B43" s="49" t="s">
        <v>59</v>
      </c>
      <c r="C43" s="15"/>
      <c r="D43" s="15"/>
      <c r="E43" s="16" t="s">
        <v>23</v>
      </c>
      <c r="F43" s="17"/>
      <c r="G43" s="18">
        <v>17.53</v>
      </c>
      <c r="H43" s="18">
        <f>SUM($G$43:$G$43)</f>
        <v>17.53</v>
      </c>
      <c r="I43" s="41">
        <f t="array" ref="I43">INDEX(Р[Цена за ед., руб],MATCH(1,IF(($B43=Р[Наименование])*($K43=Р[Примечание]),{1},($B43=Р[Наименование])*($K43=Р[Примечание])),0))</f>
        <v>0</v>
      </c>
      <c r="J43" s="41">
        <f>ROUND($H$43*$I$43,2)</f>
        <v>0</v>
      </c>
      <c r="K43" s="15" t="s">
        <v>60</v>
      </c>
      <c r="L43" s="15"/>
    </row>
    <row r="44" spans="1:13" outlineLevel="4" x14ac:dyDescent="0.2">
      <c r="A44" s="48"/>
      <c r="B44" s="47" t="s">
        <v>25</v>
      </c>
      <c r="C44" s="14"/>
      <c r="D44" s="14"/>
      <c r="E44" s="14"/>
      <c r="F44" s="14"/>
      <c r="G44" s="14"/>
      <c r="H44" s="14"/>
      <c r="I44" s="39"/>
      <c r="J44" s="40">
        <f>SUM($J$45)</f>
        <v>0</v>
      </c>
      <c r="K44" s="12"/>
      <c r="L44" s="12"/>
    </row>
    <row r="45" spans="1:13" ht="22.5" outlineLevel="4" x14ac:dyDescent="0.2">
      <c r="A45" s="16" t="s">
        <v>26</v>
      </c>
      <c r="B45" s="49" t="s">
        <v>107</v>
      </c>
      <c r="C45" s="15"/>
      <c r="D45" s="15" t="s">
        <v>61</v>
      </c>
      <c r="E45" s="16" t="s">
        <v>42</v>
      </c>
      <c r="F45" s="19">
        <v>1.07</v>
      </c>
      <c r="G45" s="18">
        <v>1.88</v>
      </c>
      <c r="H45" s="18">
        <f>SUM($G$45:$G$45)</f>
        <v>1.88</v>
      </c>
      <c r="I45" s="85">
        <f>VLOOKUP(B45,Материалы!$B$3:$J$20,7,0)</f>
        <v>0</v>
      </c>
      <c r="J45" s="41">
        <f>ROUND($H$45*$I$45,2)</f>
        <v>0</v>
      </c>
      <c r="K45" s="15"/>
      <c r="L45" s="15" t="s">
        <v>89</v>
      </c>
    </row>
    <row r="46" spans="1:13" outlineLevel="2" x14ac:dyDescent="0.2">
      <c r="A46" s="10" t="s">
        <v>62</v>
      </c>
      <c r="B46" s="47" t="s">
        <v>63</v>
      </c>
      <c r="C46" s="9"/>
      <c r="D46" s="9"/>
      <c r="E46" s="10"/>
      <c r="F46" s="11"/>
      <c r="G46" s="12"/>
      <c r="H46" s="12"/>
      <c r="I46" s="38"/>
      <c r="J46" s="38">
        <f>SUM($J$47)</f>
        <v>0</v>
      </c>
      <c r="K46" s="13"/>
      <c r="L46" s="13"/>
    </row>
    <row r="47" spans="1:13" outlineLevel="3" x14ac:dyDescent="0.2">
      <c r="A47" s="10" t="s">
        <v>64</v>
      </c>
      <c r="B47" s="47" t="s">
        <v>63</v>
      </c>
      <c r="C47" s="9"/>
      <c r="D47" s="9"/>
      <c r="E47" s="10"/>
      <c r="F47" s="11"/>
      <c r="G47" s="12"/>
      <c r="H47" s="12"/>
      <c r="I47" s="38"/>
      <c r="J47" s="38">
        <f>SUM($J$78,$J$76,$J$72,$J$70,$J$67,$J$65,$J$60,$J$58,$J$56,$J$54,$J$50,$J$48)</f>
        <v>0</v>
      </c>
      <c r="K47" s="13"/>
      <c r="L47" s="13"/>
    </row>
    <row r="48" spans="1:13" outlineLevel="4" x14ac:dyDescent="0.2">
      <c r="A48" s="48"/>
      <c r="B48" s="47" t="s">
        <v>21</v>
      </c>
      <c r="C48" s="14"/>
      <c r="D48" s="14"/>
      <c r="E48" s="14"/>
      <c r="F48" s="14"/>
      <c r="G48" s="14"/>
      <c r="H48" s="14"/>
      <c r="I48" s="39"/>
      <c r="J48" s="40">
        <f>SUM($J$49)</f>
        <v>0</v>
      </c>
      <c r="K48" s="12"/>
      <c r="L48" s="12"/>
    </row>
    <row r="49" spans="1:12" ht="22.5" outlineLevel="4" x14ac:dyDescent="0.2">
      <c r="A49" s="16"/>
      <c r="B49" s="49" t="s">
        <v>65</v>
      </c>
      <c r="C49" s="15"/>
      <c r="D49" s="15"/>
      <c r="E49" s="16" t="s">
        <v>66</v>
      </c>
      <c r="F49" s="17"/>
      <c r="G49" s="18">
        <v>14.11</v>
      </c>
      <c r="H49" s="18">
        <f>SUM($G$49:$G$49)</f>
        <v>14.11</v>
      </c>
      <c r="I49" s="41">
        <f t="array" ref="I49">INDEX(Р[Цена за ед., руб],MATCH(1,IF(($B49=Р[Наименование])*($K49=Р[Примечание]),{1},($B49=Р[Наименование])*($K49=Р[Примечание])),0))</f>
        <v>0</v>
      </c>
      <c r="J49" s="41">
        <f>ROUND($H$49*$I$49,2)</f>
        <v>0</v>
      </c>
      <c r="K49" s="15"/>
      <c r="L49" s="15"/>
    </row>
    <row r="50" spans="1:12" outlineLevel="4" x14ac:dyDescent="0.2">
      <c r="A50" s="48"/>
      <c r="B50" s="47" t="s">
        <v>25</v>
      </c>
      <c r="C50" s="14"/>
      <c r="D50" s="14"/>
      <c r="E50" s="14"/>
      <c r="F50" s="14"/>
      <c r="G50" s="14"/>
      <c r="H50" s="14"/>
      <c r="I50" s="39"/>
      <c r="J50" s="40">
        <f>SUM($J$51:$J$53)</f>
        <v>0</v>
      </c>
      <c r="K50" s="12"/>
      <c r="L50" s="12"/>
    </row>
    <row r="51" spans="1:12" ht="22.5" outlineLevel="4" x14ac:dyDescent="0.2">
      <c r="A51" s="16" t="s">
        <v>26</v>
      </c>
      <c r="B51" s="49" t="s">
        <v>108</v>
      </c>
      <c r="C51" s="15"/>
      <c r="D51" s="15" t="s">
        <v>67</v>
      </c>
      <c r="E51" s="16" t="s">
        <v>66</v>
      </c>
      <c r="F51" s="19">
        <v>1.07</v>
      </c>
      <c r="G51" s="18">
        <v>15.09</v>
      </c>
      <c r="H51" s="18">
        <f>SUM($G$51:$G$51)</f>
        <v>15.09</v>
      </c>
      <c r="I51" s="85">
        <f>VLOOKUP(B51,Материалы!$B$3:$J$20,7,0)</f>
        <v>0</v>
      </c>
      <c r="J51" s="41">
        <f>ROUND($H$51*$I$51,2)</f>
        <v>0</v>
      </c>
      <c r="K51" s="15"/>
      <c r="L51" s="15" t="s">
        <v>89</v>
      </c>
    </row>
    <row r="52" spans="1:12" outlineLevel="4" x14ac:dyDescent="0.2">
      <c r="A52" s="16" t="s">
        <v>35</v>
      </c>
      <c r="B52" s="49" t="s">
        <v>109</v>
      </c>
      <c r="C52" s="15"/>
      <c r="D52" s="15" t="s">
        <v>68</v>
      </c>
      <c r="E52" s="16" t="s">
        <v>69</v>
      </c>
      <c r="F52" s="17"/>
      <c r="G52" s="20">
        <v>1</v>
      </c>
      <c r="H52" s="20">
        <f>SUM($G$52:$G$52)</f>
        <v>1</v>
      </c>
      <c r="I52" s="85">
        <f>VLOOKUP(B52,Материалы!$B$3:$J$20,7,0)</f>
        <v>0</v>
      </c>
      <c r="J52" s="41">
        <f>ROUND($H$52*$I$52,2)</f>
        <v>0</v>
      </c>
      <c r="K52" s="15"/>
      <c r="L52" s="15" t="s">
        <v>89</v>
      </c>
    </row>
    <row r="53" spans="1:12" outlineLevel="4" x14ac:dyDescent="0.2">
      <c r="A53" s="16" t="s">
        <v>49</v>
      </c>
      <c r="B53" s="49" t="s">
        <v>110</v>
      </c>
      <c r="C53" s="15"/>
      <c r="D53" s="15" t="s">
        <v>70</v>
      </c>
      <c r="E53" s="16" t="s">
        <v>38</v>
      </c>
      <c r="F53" s="17"/>
      <c r="G53" s="20">
        <v>80</v>
      </c>
      <c r="H53" s="20">
        <f>SUM($G$53:$G$53)</f>
        <v>80</v>
      </c>
      <c r="I53" s="85">
        <f>VLOOKUP(B53,Материалы!$B$3:$J$20,7,0)</f>
        <v>0</v>
      </c>
      <c r="J53" s="41">
        <f>ROUND($H$53*$I$53,2)</f>
        <v>0</v>
      </c>
      <c r="K53" s="15"/>
      <c r="L53" s="15" t="s">
        <v>89</v>
      </c>
    </row>
    <row r="54" spans="1:12" outlineLevel="4" x14ac:dyDescent="0.2">
      <c r="A54" s="48"/>
      <c r="B54" s="47" t="s">
        <v>21</v>
      </c>
      <c r="C54" s="14"/>
      <c r="D54" s="14"/>
      <c r="E54" s="14"/>
      <c r="F54" s="14"/>
      <c r="G54" s="14"/>
      <c r="H54" s="14"/>
      <c r="I54" s="39"/>
      <c r="J54" s="40">
        <f>SUM($J$55)</f>
        <v>0</v>
      </c>
      <c r="K54" s="12"/>
      <c r="L54" s="12"/>
    </row>
    <row r="55" spans="1:12" ht="22.5" outlineLevel="4" x14ac:dyDescent="0.2">
      <c r="A55" s="16"/>
      <c r="B55" s="49" t="s">
        <v>22</v>
      </c>
      <c r="C55" s="15"/>
      <c r="D55" s="15"/>
      <c r="E55" s="16" t="s">
        <v>23</v>
      </c>
      <c r="F55" s="17"/>
      <c r="G55" s="18">
        <v>41.06</v>
      </c>
      <c r="H55" s="18">
        <f>SUM($G$55:$G$55)</f>
        <v>41.06</v>
      </c>
      <c r="I55" s="41">
        <f t="array" ref="I55">INDEX(Р[Цена за ед., руб],MATCH(1,IF(($B55=Р[Наименование])*($K55=Р[Примечание]),{1},($B55=Р[Наименование])*($K55=Р[Примечание])),0))</f>
        <v>0</v>
      </c>
      <c r="J55" s="41">
        <f>ROUND($H$55*$I$55,2)</f>
        <v>0</v>
      </c>
      <c r="K55" s="15" t="s">
        <v>24</v>
      </c>
      <c r="L55" s="15"/>
    </row>
    <row r="56" spans="1:12" outlineLevel="4" x14ac:dyDescent="0.2">
      <c r="A56" s="48"/>
      <c r="B56" s="47" t="s">
        <v>25</v>
      </c>
      <c r="C56" s="14"/>
      <c r="D56" s="14"/>
      <c r="E56" s="14"/>
      <c r="F56" s="14"/>
      <c r="G56" s="14"/>
      <c r="H56" s="14"/>
      <c r="I56" s="39"/>
      <c r="J56" s="40">
        <f>SUM($J$57)</f>
        <v>0</v>
      </c>
      <c r="K56" s="12"/>
      <c r="L56" s="12"/>
    </row>
    <row r="57" spans="1:12" ht="22.5" outlineLevel="4" x14ac:dyDescent="0.2">
      <c r="A57" s="16" t="s">
        <v>26</v>
      </c>
      <c r="B57" s="49" t="s">
        <v>98</v>
      </c>
      <c r="C57" s="15" t="s">
        <v>27</v>
      </c>
      <c r="D57" s="15" t="s">
        <v>28</v>
      </c>
      <c r="E57" s="16" t="s">
        <v>29</v>
      </c>
      <c r="F57" s="19">
        <v>0.3</v>
      </c>
      <c r="G57" s="18">
        <v>12.32</v>
      </c>
      <c r="H57" s="18">
        <f>SUM($G$57:$G$57)</f>
        <v>12.32</v>
      </c>
      <c r="I57" s="85">
        <f>VLOOKUP(B57,Материалы!$B$3:$J$20,7,0)</f>
        <v>0</v>
      </c>
      <c r="J57" s="41">
        <f>ROUND($H$57*$I$57,2)</f>
        <v>0</v>
      </c>
      <c r="K57" s="15" t="s">
        <v>30</v>
      </c>
      <c r="L57" s="15" t="s">
        <v>89</v>
      </c>
    </row>
    <row r="58" spans="1:12" outlineLevel="4" x14ac:dyDescent="0.2">
      <c r="A58" s="48"/>
      <c r="B58" s="47" t="s">
        <v>21</v>
      </c>
      <c r="C58" s="14"/>
      <c r="D58" s="14"/>
      <c r="E58" s="14"/>
      <c r="F58" s="14"/>
      <c r="G58" s="14"/>
      <c r="H58" s="14"/>
      <c r="I58" s="39"/>
      <c r="J58" s="40">
        <f>SUM($J$59)</f>
        <v>0</v>
      </c>
      <c r="K58" s="12"/>
      <c r="L58" s="12"/>
    </row>
    <row r="59" spans="1:12" ht="22.5" outlineLevel="4" x14ac:dyDescent="0.2">
      <c r="A59" s="16"/>
      <c r="B59" s="49" t="s">
        <v>71</v>
      </c>
      <c r="C59" s="15"/>
      <c r="D59" s="15"/>
      <c r="E59" s="16" t="s">
        <v>23</v>
      </c>
      <c r="F59" s="17"/>
      <c r="G59" s="18">
        <v>19.45</v>
      </c>
      <c r="H59" s="18">
        <f>SUM($G$59:$G$59)</f>
        <v>19.45</v>
      </c>
      <c r="I59" s="41">
        <f t="array" ref="I59">INDEX(Р[Цена за ед., руб],MATCH(1,IF(($B59=Р[Наименование])*($K59=Р[Примечание]),{1},($B59=Р[Наименование])*($K59=Р[Примечание])),0))</f>
        <v>0</v>
      </c>
      <c r="J59" s="41">
        <f>ROUND($H$59*$I$59,2)</f>
        <v>0</v>
      </c>
      <c r="K59" s="15" t="s">
        <v>72</v>
      </c>
      <c r="L59" s="15"/>
    </row>
    <row r="60" spans="1:12" outlineLevel="4" x14ac:dyDescent="0.2">
      <c r="A60" s="48"/>
      <c r="B60" s="47" t="s">
        <v>25</v>
      </c>
      <c r="C60" s="14"/>
      <c r="D60" s="14"/>
      <c r="E60" s="14"/>
      <c r="F60" s="14"/>
      <c r="G60" s="14"/>
      <c r="H60" s="14"/>
      <c r="I60" s="39"/>
      <c r="J60" s="40">
        <f>SUM($J$61:$J$64)</f>
        <v>0</v>
      </c>
      <c r="K60" s="12"/>
      <c r="L60" s="12"/>
    </row>
    <row r="61" spans="1:12" ht="33.75" outlineLevel="4" x14ac:dyDescent="0.2">
      <c r="A61" s="16" t="s">
        <v>26</v>
      </c>
      <c r="B61" s="49" t="s">
        <v>111</v>
      </c>
      <c r="C61" s="15"/>
      <c r="D61" s="15" t="s">
        <v>73</v>
      </c>
      <c r="E61" s="16" t="s">
        <v>38</v>
      </c>
      <c r="F61" s="17"/>
      <c r="G61" s="20">
        <v>150</v>
      </c>
      <c r="H61" s="20">
        <f>SUM($G$61:$G$61)</f>
        <v>150</v>
      </c>
      <c r="I61" s="85">
        <f>VLOOKUP(B61,Материалы!$B$3:$J$20,7,0)</f>
        <v>0</v>
      </c>
      <c r="J61" s="41">
        <f>ROUND($H$61*$I$61,2)</f>
        <v>0</v>
      </c>
      <c r="K61" s="15"/>
      <c r="L61" s="15" t="s">
        <v>89</v>
      </c>
    </row>
    <row r="62" spans="1:12" s="62" customFormat="1" outlineLevel="4" x14ac:dyDescent="0.2">
      <c r="A62" s="56" t="s">
        <v>35</v>
      </c>
      <c r="B62" s="57" t="s">
        <v>104</v>
      </c>
      <c r="C62" s="58"/>
      <c r="D62" s="58" t="s">
        <v>52</v>
      </c>
      <c r="E62" s="56" t="s">
        <v>23</v>
      </c>
      <c r="F62" s="59">
        <v>2.0499999999999998</v>
      </c>
      <c r="G62" s="60">
        <f>ROUND(G59*F62,2)</f>
        <v>39.869999999999997</v>
      </c>
      <c r="H62" s="60">
        <f>SUM($G$62:$G$62)</f>
        <v>39.869999999999997</v>
      </c>
      <c r="I62" s="85">
        <f>VLOOKUP(B62,Материалы!$B$3:$J$20,7,0)</f>
        <v>0</v>
      </c>
      <c r="J62" s="61">
        <f>ROUND($H$62*$I$62,2)</f>
        <v>0</v>
      </c>
      <c r="K62" s="58" t="s">
        <v>74</v>
      </c>
      <c r="L62" s="15" t="s">
        <v>89</v>
      </c>
    </row>
    <row r="63" spans="1:12" ht="33.75" outlineLevel="4" x14ac:dyDescent="0.2">
      <c r="A63" s="16" t="s">
        <v>49</v>
      </c>
      <c r="B63" s="49" t="s">
        <v>112</v>
      </c>
      <c r="C63" s="15"/>
      <c r="D63" s="15" t="s">
        <v>75</v>
      </c>
      <c r="E63" s="16" t="s">
        <v>42</v>
      </c>
      <c r="F63" s="19">
        <v>1.05</v>
      </c>
      <c r="G63" s="18">
        <v>0.23</v>
      </c>
      <c r="H63" s="18">
        <f>SUM($G$63:$G$63)</f>
        <v>0.23</v>
      </c>
      <c r="I63" s="85">
        <f>VLOOKUP(B63,Материалы!$B$3:$J$20,7,0)</f>
        <v>0</v>
      </c>
      <c r="J63" s="41">
        <f>ROUND($H$63*$I$63,2)</f>
        <v>0</v>
      </c>
      <c r="K63" s="15"/>
      <c r="L63" s="15" t="s">
        <v>89</v>
      </c>
    </row>
    <row r="64" spans="1:12" outlineLevel="4" x14ac:dyDescent="0.2">
      <c r="A64" s="16" t="s">
        <v>76</v>
      </c>
      <c r="B64" s="49" t="s">
        <v>106</v>
      </c>
      <c r="C64" s="15"/>
      <c r="D64" s="15" t="s">
        <v>54</v>
      </c>
      <c r="E64" s="16" t="s">
        <v>38</v>
      </c>
      <c r="F64" s="17"/>
      <c r="G64" s="20">
        <v>150</v>
      </c>
      <c r="H64" s="20">
        <f>SUM($G$64:$G$64)</f>
        <v>150</v>
      </c>
      <c r="I64" s="85">
        <f>VLOOKUP(B64,Материалы!$B$3:$J$20,7,0)</f>
        <v>0</v>
      </c>
      <c r="J64" s="41">
        <f>ROUND($H$64*$I$64,2)</f>
        <v>0</v>
      </c>
      <c r="K64" s="15"/>
      <c r="L64" s="15" t="s">
        <v>89</v>
      </c>
    </row>
    <row r="65" spans="1:12" outlineLevel="4" x14ac:dyDescent="0.2">
      <c r="A65" s="48"/>
      <c r="B65" s="47" t="s">
        <v>21</v>
      </c>
      <c r="C65" s="14"/>
      <c r="D65" s="14"/>
      <c r="E65" s="14"/>
      <c r="F65" s="14"/>
      <c r="G65" s="14"/>
      <c r="H65" s="14"/>
      <c r="I65" s="39"/>
      <c r="J65" s="40">
        <f>SUM($J$66)</f>
        <v>0</v>
      </c>
      <c r="K65" s="12"/>
      <c r="L65" s="12"/>
    </row>
    <row r="66" spans="1:12" ht="22.5" outlineLevel="4" x14ac:dyDescent="0.2">
      <c r="A66" s="16"/>
      <c r="B66" s="49" t="s">
        <v>77</v>
      </c>
      <c r="C66" s="15"/>
      <c r="D66" s="15"/>
      <c r="E66" s="16" t="s">
        <v>23</v>
      </c>
      <c r="F66" s="17"/>
      <c r="G66" s="18">
        <v>4.32</v>
      </c>
      <c r="H66" s="18">
        <f>SUM($G$66:$G$66)</f>
        <v>4.32</v>
      </c>
      <c r="I66" s="41">
        <f t="array" ref="I66">INDEX(Р[Цена за ед., руб],MATCH(1,IF(($B66=Р[Наименование])*($K66=Р[Примечание]),{1},($B66=Р[Наименование])*($K66=Р[Примечание])),0))</f>
        <v>0</v>
      </c>
      <c r="J66" s="41">
        <f>ROUND($H$66*$I$66,2)</f>
        <v>0</v>
      </c>
      <c r="K66" s="15"/>
      <c r="L66" s="15"/>
    </row>
    <row r="67" spans="1:12" outlineLevel="4" x14ac:dyDescent="0.2">
      <c r="A67" s="48"/>
      <c r="B67" s="47" t="s">
        <v>25</v>
      </c>
      <c r="C67" s="14"/>
      <c r="D67" s="14"/>
      <c r="E67" s="14"/>
      <c r="F67" s="14"/>
      <c r="G67" s="14"/>
      <c r="H67" s="14"/>
      <c r="I67" s="39"/>
      <c r="J67" s="40">
        <f>SUM($J$68:$J$69)</f>
        <v>0</v>
      </c>
      <c r="K67" s="12"/>
      <c r="L67" s="12"/>
    </row>
    <row r="68" spans="1:12" outlineLevel="4" x14ac:dyDescent="0.2">
      <c r="A68" s="16" t="s">
        <v>26</v>
      </c>
      <c r="B68" s="49" t="s">
        <v>104</v>
      </c>
      <c r="C68" s="15"/>
      <c r="D68" s="15" t="s">
        <v>52</v>
      </c>
      <c r="E68" s="16" t="s">
        <v>23</v>
      </c>
      <c r="F68" s="19">
        <v>1.05</v>
      </c>
      <c r="G68" s="18">
        <v>4.54</v>
      </c>
      <c r="H68" s="18">
        <f>SUM($G$68:$G$68)</f>
        <v>4.54</v>
      </c>
      <c r="I68" s="85">
        <f>VLOOKUP(B68,Материалы!$B$3:$J$20,7,0)</f>
        <v>0</v>
      </c>
      <c r="J68" s="41">
        <f>ROUND($H$68*$I$68,2)</f>
        <v>0</v>
      </c>
      <c r="K68" s="15"/>
      <c r="L68" s="15" t="s">
        <v>89</v>
      </c>
    </row>
    <row r="69" spans="1:12" ht="22.5" outlineLevel="4" x14ac:dyDescent="0.2">
      <c r="A69" s="16" t="s">
        <v>35</v>
      </c>
      <c r="B69" s="49" t="s">
        <v>110</v>
      </c>
      <c r="C69" s="15"/>
      <c r="D69" s="15" t="s">
        <v>70</v>
      </c>
      <c r="E69" s="16" t="s">
        <v>38</v>
      </c>
      <c r="F69" s="17"/>
      <c r="G69" s="20">
        <v>97</v>
      </c>
      <c r="H69" s="20">
        <f>SUM($G$69:$G$69)</f>
        <v>97</v>
      </c>
      <c r="I69" s="85">
        <f>VLOOKUP(B69,Материалы!$B$3:$J$20,7,0)</f>
        <v>0</v>
      </c>
      <c r="J69" s="41">
        <f>ROUND($H$69*$I$69,2)</f>
        <v>0</v>
      </c>
      <c r="K69" s="15" t="s">
        <v>78</v>
      </c>
      <c r="L69" s="15" t="s">
        <v>89</v>
      </c>
    </row>
    <row r="70" spans="1:12" outlineLevel="4" x14ac:dyDescent="0.2">
      <c r="A70" s="48"/>
      <c r="B70" s="47" t="s">
        <v>21</v>
      </c>
      <c r="C70" s="14"/>
      <c r="D70" s="14"/>
      <c r="E70" s="14"/>
      <c r="F70" s="14"/>
      <c r="G70" s="14"/>
      <c r="H70" s="14"/>
      <c r="I70" s="39"/>
      <c r="J70" s="40">
        <f>SUM($J$71)</f>
        <v>0</v>
      </c>
      <c r="K70" s="12"/>
      <c r="L70" s="12"/>
    </row>
    <row r="71" spans="1:12" ht="33.75" outlineLevel="4" x14ac:dyDescent="0.2">
      <c r="A71" s="16"/>
      <c r="B71" s="49" t="s">
        <v>79</v>
      </c>
      <c r="C71" s="15"/>
      <c r="D71" s="15"/>
      <c r="E71" s="16" t="s">
        <v>23</v>
      </c>
      <c r="F71" s="17"/>
      <c r="G71" s="18">
        <v>41.06</v>
      </c>
      <c r="H71" s="18">
        <f>SUM($G$71:$G$71)</f>
        <v>41.06</v>
      </c>
      <c r="I71" s="41">
        <f t="array" ref="I71">INDEX(Р[Цена за ед., руб],MATCH(1,IF(($B71=Р[Наименование])*($K71=Р[Примечание]),{1},($B71=Р[Наименование])*($K71=Р[Примечание])),0))</f>
        <v>0</v>
      </c>
      <c r="J71" s="41">
        <f>ROUND($H$71*$I$71,2)</f>
        <v>0</v>
      </c>
      <c r="K71" s="15"/>
      <c r="L71" s="15"/>
    </row>
    <row r="72" spans="1:12" outlineLevel="4" x14ac:dyDescent="0.2">
      <c r="A72" s="48"/>
      <c r="B72" s="47" t="s">
        <v>25</v>
      </c>
      <c r="C72" s="14"/>
      <c r="D72" s="14"/>
      <c r="E72" s="14"/>
      <c r="F72" s="14"/>
      <c r="G72" s="14"/>
      <c r="H72" s="14"/>
      <c r="I72" s="39"/>
      <c r="J72" s="40">
        <f>SUM($J$73:$J$75)</f>
        <v>0</v>
      </c>
      <c r="K72" s="12"/>
      <c r="L72" s="12"/>
    </row>
    <row r="73" spans="1:12" outlineLevel="4" x14ac:dyDescent="0.2">
      <c r="A73" s="16" t="s">
        <v>26</v>
      </c>
      <c r="B73" s="49" t="s">
        <v>102</v>
      </c>
      <c r="C73" s="15"/>
      <c r="D73" s="15" t="s">
        <v>47</v>
      </c>
      <c r="E73" s="16" t="s">
        <v>23</v>
      </c>
      <c r="F73" s="19">
        <v>1.1399999999999999</v>
      </c>
      <c r="G73" s="21">
        <v>46.8</v>
      </c>
      <c r="H73" s="21">
        <f>SUM($G$73:$G$73)</f>
        <v>46.8</v>
      </c>
      <c r="I73" s="85">
        <f>VLOOKUP(B73,Материалы!$B$3:$J$20,7,0)</f>
        <v>0</v>
      </c>
      <c r="J73" s="41">
        <f>ROUND($H$73*$I$73,2)</f>
        <v>0</v>
      </c>
      <c r="K73" s="15"/>
      <c r="L73" s="15" t="s">
        <v>89</v>
      </c>
    </row>
    <row r="74" spans="1:12" outlineLevel="4" x14ac:dyDescent="0.2">
      <c r="A74" s="16" t="s">
        <v>35</v>
      </c>
      <c r="B74" s="49" t="s">
        <v>103</v>
      </c>
      <c r="C74" s="15"/>
      <c r="D74" s="15" t="s">
        <v>48</v>
      </c>
      <c r="E74" s="16" t="s">
        <v>23</v>
      </c>
      <c r="F74" s="19">
        <v>1.1599999999999999</v>
      </c>
      <c r="G74" s="18">
        <v>40.94</v>
      </c>
      <c r="H74" s="18">
        <f>SUM($G$74:$G$74)</f>
        <v>40.94</v>
      </c>
      <c r="I74" s="85">
        <f>VLOOKUP(B74,Материалы!$B$3:$J$20,7,0)</f>
        <v>0</v>
      </c>
      <c r="J74" s="41">
        <f>ROUND($H$74*$I$74,2)</f>
        <v>0</v>
      </c>
      <c r="K74" s="15" t="s">
        <v>80</v>
      </c>
      <c r="L74" s="15" t="s">
        <v>89</v>
      </c>
    </row>
    <row r="75" spans="1:12" outlineLevel="4" x14ac:dyDescent="0.2">
      <c r="A75" s="16" t="s">
        <v>49</v>
      </c>
      <c r="B75" s="49" t="s">
        <v>50</v>
      </c>
      <c r="C75" s="15"/>
      <c r="D75" s="15"/>
      <c r="E75" s="16" t="s">
        <v>29</v>
      </c>
      <c r="F75" s="19">
        <v>0.94</v>
      </c>
      <c r="G75" s="18">
        <v>58.71</v>
      </c>
      <c r="H75" s="18">
        <f>SUM($G$75:$G$75)</f>
        <v>58.71</v>
      </c>
      <c r="I75" s="85">
        <f>VLOOKUP(B75,Материалы!$B$3:$J$20,7,0)</f>
        <v>0</v>
      </c>
      <c r="J75" s="41">
        <f>ROUND($H$75*$I$75,2)</f>
        <v>0</v>
      </c>
      <c r="K75" s="15"/>
      <c r="L75" s="15" t="s">
        <v>89</v>
      </c>
    </row>
    <row r="76" spans="1:12" outlineLevel="4" x14ac:dyDescent="0.2">
      <c r="A76" s="48"/>
      <c r="B76" s="47" t="s">
        <v>21</v>
      </c>
      <c r="C76" s="14"/>
      <c r="D76" s="14"/>
      <c r="E76" s="14"/>
      <c r="F76" s="14"/>
      <c r="G76" s="14"/>
      <c r="H76" s="14"/>
      <c r="I76" s="39"/>
      <c r="J76" s="40">
        <f>SUM($J$77)</f>
        <v>0</v>
      </c>
      <c r="K76" s="12"/>
      <c r="L76" s="12"/>
    </row>
    <row r="77" spans="1:12" ht="33.75" outlineLevel="4" x14ac:dyDescent="0.2">
      <c r="A77" s="16"/>
      <c r="B77" s="49" t="s">
        <v>81</v>
      </c>
      <c r="C77" s="15"/>
      <c r="D77" s="15"/>
      <c r="E77" s="16" t="s">
        <v>23</v>
      </c>
      <c r="F77" s="17"/>
      <c r="G77" s="21">
        <v>7.2</v>
      </c>
      <c r="H77" s="21">
        <f>SUM($G$77:$G$77)</f>
        <v>7.2</v>
      </c>
      <c r="I77" s="41">
        <f t="array" ref="I77">INDEX(Р[Цена за ед., руб],MATCH(1,IF(($B77=Р[Наименование])*($K77=Р[Примечание]),{1},($B77=Р[Наименование])*($K77=Р[Примечание])),0))</f>
        <v>0</v>
      </c>
      <c r="J77" s="41">
        <f>ROUND($H$77*$I$77,2)</f>
        <v>0</v>
      </c>
      <c r="K77" s="15" t="s">
        <v>82</v>
      </c>
      <c r="L77" s="15"/>
    </row>
    <row r="78" spans="1:12" outlineLevel="4" x14ac:dyDescent="0.2">
      <c r="A78" s="48"/>
      <c r="B78" s="47" t="s">
        <v>25</v>
      </c>
      <c r="C78" s="14"/>
      <c r="D78" s="14"/>
      <c r="E78" s="14"/>
      <c r="F78" s="14"/>
      <c r="G78" s="14"/>
      <c r="H78" s="14"/>
      <c r="I78" s="39"/>
      <c r="J78" s="40">
        <f>SUM($J$79:$J$80)</f>
        <v>0</v>
      </c>
      <c r="K78" s="12"/>
      <c r="L78" s="12"/>
    </row>
    <row r="79" spans="1:12" ht="22.5" outlineLevel="4" x14ac:dyDescent="0.2">
      <c r="A79" s="16" t="s">
        <v>26</v>
      </c>
      <c r="B79" s="49" t="s">
        <v>32</v>
      </c>
      <c r="C79" s="15"/>
      <c r="D79" s="15" t="s">
        <v>33</v>
      </c>
      <c r="E79" s="16" t="s">
        <v>23</v>
      </c>
      <c r="F79" s="19">
        <v>1.1000000000000001</v>
      </c>
      <c r="G79" s="20">
        <v>10</v>
      </c>
      <c r="H79" s="20">
        <f>SUM($G$79:$G$79)</f>
        <v>10</v>
      </c>
      <c r="I79" s="85">
        <f>VLOOKUP(B79,Материалы!$B$3:$J$20,7,0)</f>
        <v>0</v>
      </c>
      <c r="J79" s="41">
        <f>ROUND($H$79*$I$79,2)</f>
        <v>0</v>
      </c>
      <c r="K79" s="15" t="s">
        <v>34</v>
      </c>
      <c r="L79" s="15" t="s">
        <v>89</v>
      </c>
    </row>
    <row r="80" spans="1:12" ht="33.75" outlineLevel="4" x14ac:dyDescent="0.2">
      <c r="A80" s="16" t="s">
        <v>35</v>
      </c>
      <c r="B80" s="49" t="s">
        <v>99</v>
      </c>
      <c r="C80" s="15" t="s">
        <v>36</v>
      </c>
      <c r="D80" s="15" t="s">
        <v>37</v>
      </c>
      <c r="E80" s="16" t="s">
        <v>38</v>
      </c>
      <c r="F80" s="17"/>
      <c r="G80" s="20">
        <v>1</v>
      </c>
      <c r="H80" s="20">
        <f>SUM($G$80:$G$80)</f>
        <v>1</v>
      </c>
      <c r="I80" s="85">
        <f>VLOOKUP(B80,Материалы!$B$3:$J$20,7,0)</f>
        <v>0</v>
      </c>
      <c r="J80" s="41">
        <f>ROUND($H$80*$I$80,2)</f>
        <v>0</v>
      </c>
      <c r="K80" s="15" t="s">
        <v>83</v>
      </c>
      <c r="L80" s="15" t="s">
        <v>89</v>
      </c>
    </row>
    <row r="81" spans="1:12" x14ac:dyDescent="0.2">
      <c r="A81" s="50"/>
      <c r="B81" s="51"/>
      <c r="C81" s="51"/>
      <c r="D81" s="51"/>
      <c r="E81" s="51"/>
      <c r="F81" s="51"/>
      <c r="G81" s="52"/>
      <c r="H81" s="96" t="s">
        <v>84</v>
      </c>
      <c r="I81" s="97"/>
      <c r="J81" s="42">
        <f>$J$9</f>
        <v>0</v>
      </c>
      <c r="K81" s="53"/>
      <c r="L81" s="53"/>
    </row>
    <row r="82" spans="1:12" x14ac:dyDescent="0.2">
      <c r="A82" s="50"/>
      <c r="B82" s="51"/>
      <c r="C82" s="51"/>
      <c r="D82" s="51"/>
      <c r="E82" s="51"/>
      <c r="F82" s="51"/>
      <c r="G82" s="54"/>
      <c r="H82" s="98" t="s">
        <v>85</v>
      </c>
      <c r="I82" s="99"/>
      <c r="J82" s="42">
        <f>SUM($J$76,$J$70,$J$65,$J$58,$J$54,$J$48,$J$42,$J$38,$J$32,$J$26,$J$21,$J$16,$J$12)</f>
        <v>0</v>
      </c>
      <c r="K82" s="53"/>
      <c r="L82" s="53"/>
    </row>
    <row r="83" spans="1:12" x14ac:dyDescent="0.2">
      <c r="A83" s="50"/>
      <c r="B83" s="51"/>
      <c r="C83" s="51"/>
      <c r="D83" s="51"/>
      <c r="E83" s="51"/>
      <c r="F83" s="51"/>
      <c r="G83" s="54"/>
      <c r="H83" s="98" t="s">
        <v>86</v>
      </c>
      <c r="I83" s="99"/>
      <c r="J83" s="42">
        <f>SUM($J$78,$J$72,$J$67,$J$60,$J$56,$J$50,$J$44,$J$40,$J$34,$J$28,$J$23,$J$18,$J$14)</f>
        <v>0</v>
      </c>
      <c r="K83" s="53"/>
      <c r="L83" s="53"/>
    </row>
    <row r="84" spans="1:12" x14ac:dyDescent="0.2">
      <c r="A84" s="55"/>
      <c r="B84" s="88" t="s">
        <v>87</v>
      </c>
      <c r="C84" s="88"/>
      <c r="D84" s="88"/>
      <c r="E84" s="88"/>
      <c r="F84" s="88"/>
      <c r="G84" s="88"/>
      <c r="H84" s="88"/>
      <c r="I84" s="89"/>
      <c r="J84" s="89"/>
      <c r="K84" s="88"/>
      <c r="L84" s="55"/>
    </row>
    <row r="85" spans="1:12" x14ac:dyDescent="0.2">
      <c r="B85" s="90"/>
      <c r="C85" s="90"/>
      <c r="D85" s="90"/>
      <c r="E85" s="90"/>
      <c r="F85" s="90"/>
      <c r="G85" s="90"/>
      <c r="H85" s="90"/>
      <c r="I85" s="91"/>
      <c r="J85" s="91"/>
      <c r="K85" s="90"/>
    </row>
  </sheetData>
  <mergeCells count="20"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84:K84"/>
    <mergeCell ref="B85:K85"/>
    <mergeCell ref="K6:K7"/>
    <mergeCell ref="L6:L7"/>
    <mergeCell ref="H81:I81"/>
    <mergeCell ref="H82:I82"/>
    <mergeCell ref="H83:I83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17"/>
  <sheetViews>
    <sheetView workbookViewId="0">
      <pane ySplit="3" topLeftCell="A4" activePane="bottomLeft" state="frozen"/>
      <selection pane="bottomLeft" activeCell="D4" sqref="D4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08" t="s">
        <v>88</v>
      </c>
      <c r="B1" s="108"/>
      <c r="C1" s="108"/>
      <c r="D1" s="108"/>
      <c r="E1" s="108"/>
      <c r="F1" s="108"/>
    </row>
    <row r="3" spans="1:6" ht="11.1" customHeight="1" x14ac:dyDescent="0.2">
      <c r="A3" s="26" t="s">
        <v>3</v>
      </c>
      <c r="B3" s="2" t="s">
        <v>6</v>
      </c>
      <c r="C3" s="2" t="s">
        <v>9</v>
      </c>
      <c r="D3" s="33" t="s">
        <v>10</v>
      </c>
      <c r="E3" s="33" t="s">
        <v>11</v>
      </c>
      <c r="F3" s="27" t="s">
        <v>12</v>
      </c>
    </row>
    <row r="4" spans="1:6" ht="11.1" customHeight="1" x14ac:dyDescent="0.2">
      <c r="A4" s="24" t="s">
        <v>22</v>
      </c>
      <c r="B4" s="22" t="s">
        <v>23</v>
      </c>
      <c r="C4" s="23">
        <v>66.83</v>
      </c>
      <c r="D4" s="34"/>
      <c r="E4" s="34">
        <f>ROUND(Р[[#This Row],[Количество]]*Р[[#This Row],[Цена за ед., руб]],2)</f>
        <v>0</v>
      </c>
      <c r="F4" s="25" t="s">
        <v>24</v>
      </c>
    </row>
    <row r="5" spans="1:6" ht="23.1" customHeight="1" x14ac:dyDescent="0.2">
      <c r="A5" s="24" t="s">
        <v>31</v>
      </c>
      <c r="B5" s="22" t="s">
        <v>23</v>
      </c>
      <c r="C5" s="23">
        <v>25.77</v>
      </c>
      <c r="D5" s="34"/>
      <c r="E5" s="34">
        <f>ROUND(Р[[#This Row],[Количество]]*Р[[#This Row],[Цена за ед., руб]],2)</f>
        <v>0</v>
      </c>
      <c r="F5" s="25"/>
    </row>
    <row r="6" spans="1:6" ht="11.1" customHeight="1" x14ac:dyDescent="0.2">
      <c r="A6" s="24" t="s">
        <v>40</v>
      </c>
      <c r="B6" s="22" t="s">
        <v>23</v>
      </c>
      <c r="C6" s="23">
        <v>25.77</v>
      </c>
      <c r="D6" s="34"/>
      <c r="E6" s="34">
        <f>ROUND(Р[[#This Row],[Количество]]*Р[[#This Row],[Цена за ед., руб]],2)</f>
        <v>0</v>
      </c>
      <c r="F6" s="25"/>
    </row>
    <row r="7" spans="1:6" ht="23.1" customHeight="1" x14ac:dyDescent="0.2">
      <c r="A7" s="24" t="s">
        <v>46</v>
      </c>
      <c r="B7" s="22" t="s">
        <v>23</v>
      </c>
      <c r="C7" s="23">
        <v>25.77</v>
      </c>
      <c r="D7" s="34"/>
      <c r="E7" s="34">
        <f>ROUND(Р[[#This Row],[Количество]]*Р[[#This Row],[Цена за ед., руб]],2)</f>
        <v>0</v>
      </c>
      <c r="F7" s="25"/>
    </row>
    <row r="8" spans="1:6" ht="23.1" customHeight="1" x14ac:dyDescent="0.2">
      <c r="A8" s="24" t="s">
        <v>51</v>
      </c>
      <c r="B8" s="22" t="s">
        <v>23</v>
      </c>
      <c r="C8" s="23">
        <v>25.77</v>
      </c>
      <c r="D8" s="34"/>
      <c r="E8" s="34">
        <f>ROUND(Р[[#This Row],[Количество]]*Р[[#This Row],[Цена за ед., руб]],2)</f>
        <v>0</v>
      </c>
      <c r="F8" s="25"/>
    </row>
    <row r="9" spans="1:6" ht="23.1" customHeight="1" x14ac:dyDescent="0.2">
      <c r="A9" s="24" t="s">
        <v>55</v>
      </c>
      <c r="B9" s="22" t="s">
        <v>23</v>
      </c>
      <c r="C9" s="23">
        <v>25.77</v>
      </c>
      <c r="D9" s="34"/>
      <c r="E9" s="34">
        <f>ROUND(Р[[#This Row],[Количество]]*Р[[#This Row],[Цена за ед., руб]],2)</f>
        <v>0</v>
      </c>
      <c r="F9" s="25" t="s">
        <v>56</v>
      </c>
    </row>
    <row r="10" spans="1:6" ht="11.1" customHeight="1" x14ac:dyDescent="0.2">
      <c r="A10" s="24" t="s">
        <v>59</v>
      </c>
      <c r="B10" s="22" t="s">
        <v>23</v>
      </c>
      <c r="C10" s="23">
        <v>17.53</v>
      </c>
      <c r="D10" s="34"/>
      <c r="E10" s="34">
        <f>ROUND(Р[[#This Row],[Количество]]*Р[[#This Row],[Цена за ед., руб]],2)</f>
        <v>0</v>
      </c>
      <c r="F10" s="25" t="s">
        <v>60</v>
      </c>
    </row>
    <row r="11" spans="1:6" ht="23.1" customHeight="1" x14ac:dyDescent="0.2">
      <c r="A11" s="24" t="s">
        <v>65</v>
      </c>
      <c r="B11" s="22" t="s">
        <v>66</v>
      </c>
      <c r="C11" s="23">
        <v>14.11</v>
      </c>
      <c r="D11" s="34"/>
      <c r="E11" s="34">
        <f>ROUND(Р[[#This Row],[Количество]]*Р[[#This Row],[Цена за ед., руб]],2)</f>
        <v>0</v>
      </c>
      <c r="F11" s="25"/>
    </row>
    <row r="12" spans="1:6" ht="11.1" customHeight="1" x14ac:dyDescent="0.2">
      <c r="A12" s="24" t="s">
        <v>71</v>
      </c>
      <c r="B12" s="22" t="s">
        <v>23</v>
      </c>
      <c r="C12" s="23">
        <v>19.45</v>
      </c>
      <c r="D12" s="34"/>
      <c r="E12" s="34">
        <f>ROUND(Р[[#This Row],[Количество]]*Р[[#This Row],[Цена за ед., руб]],2)</f>
        <v>0</v>
      </c>
      <c r="F12" s="25" t="s">
        <v>72</v>
      </c>
    </row>
    <row r="13" spans="1:6" ht="23.1" customHeight="1" x14ac:dyDescent="0.2">
      <c r="A13" s="24" t="s">
        <v>77</v>
      </c>
      <c r="B13" s="22" t="s">
        <v>23</v>
      </c>
      <c r="C13" s="23">
        <v>4.32</v>
      </c>
      <c r="D13" s="34"/>
      <c r="E13" s="34">
        <f>ROUND(Р[[#This Row],[Количество]]*Р[[#This Row],[Цена за ед., руб]],2)</f>
        <v>0</v>
      </c>
      <c r="F13" s="25"/>
    </row>
    <row r="14" spans="1:6" ht="23.1" customHeight="1" x14ac:dyDescent="0.2">
      <c r="A14" s="24" t="s">
        <v>79</v>
      </c>
      <c r="B14" s="22" t="s">
        <v>23</v>
      </c>
      <c r="C14" s="23">
        <v>41.06</v>
      </c>
      <c r="D14" s="34"/>
      <c r="E14" s="34">
        <f>ROUND(Р[[#This Row],[Количество]]*Р[[#This Row],[Цена за ед., руб]],2)</f>
        <v>0</v>
      </c>
      <c r="F14" s="25"/>
    </row>
    <row r="15" spans="1:6" ht="23.1" customHeight="1" x14ac:dyDescent="0.2">
      <c r="A15" s="28" t="s">
        <v>81</v>
      </c>
      <c r="B15" s="29" t="s">
        <v>23</v>
      </c>
      <c r="C15" s="30">
        <v>7.2</v>
      </c>
      <c r="D15" s="34"/>
      <c r="E15" s="35">
        <f>ROUND(Р[[#This Row],[Количество]]*Р[[#This Row],[Цена за ед., руб]],2)</f>
        <v>0</v>
      </c>
      <c r="F15" s="32" t="s">
        <v>82</v>
      </c>
    </row>
    <row r="16" spans="1:6" ht="11.45" customHeight="1" x14ac:dyDescent="0.2">
      <c r="A16" s="28" t="s">
        <v>94</v>
      </c>
      <c r="B16" s="29"/>
      <c r="C16" s="31"/>
      <c r="D16" s="35" t="s">
        <v>96</v>
      </c>
      <c r="E16" s="35">
        <f>SUBTOTAL(109,Р[Сумма, руб])</f>
        <v>0</v>
      </c>
      <c r="F16" s="32"/>
    </row>
    <row r="17" spans="4:5" ht="11.45" customHeight="1" x14ac:dyDescent="0.2">
      <c r="D17" s="63" t="s">
        <v>97</v>
      </c>
      <c r="E17" s="64">
        <f>Р[[#Totals],[Сумма, руб]]-ЛСР!J82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J29"/>
  <sheetViews>
    <sheetView workbookViewId="0">
      <pane ySplit="3" topLeftCell="A4" activePane="bottomLeft" state="frozen"/>
      <selection pane="bottomLeft" activeCell="G17" sqref="G17"/>
    </sheetView>
  </sheetViews>
  <sheetFormatPr defaultRowHeight="12.75" x14ac:dyDescent="0.2"/>
  <cols>
    <col min="1" max="1" width="14.1640625" style="65" customWidth="1"/>
    <col min="2" max="2" width="65.6640625" style="66" customWidth="1"/>
    <col min="3" max="3" width="19.5" style="65" customWidth="1"/>
    <col min="4" max="4" width="41" style="66" customWidth="1"/>
    <col min="5" max="5" width="9.33203125" style="65"/>
    <col min="6" max="6" width="11.5" style="65" customWidth="1"/>
    <col min="7" max="8" width="13.33203125" style="65" customWidth="1"/>
    <col min="9" max="9" width="16.6640625" style="65" bestFit="1" customWidth="1"/>
    <col min="10" max="10" width="27" style="65" customWidth="1"/>
    <col min="11" max="16384" width="9.33203125" style="65"/>
  </cols>
  <sheetData>
    <row r="1" spans="1:10" x14ac:dyDescent="0.2">
      <c r="B1" s="66" t="s">
        <v>113</v>
      </c>
    </row>
    <row r="2" spans="1:10" ht="25.5" x14ac:dyDescent="0.2">
      <c r="A2" s="67" t="s">
        <v>2</v>
      </c>
      <c r="B2" s="68" t="s">
        <v>3</v>
      </c>
      <c r="C2" s="68" t="s">
        <v>114</v>
      </c>
      <c r="D2" s="68" t="s">
        <v>5</v>
      </c>
      <c r="E2" s="68" t="s">
        <v>6</v>
      </c>
      <c r="F2" s="68" t="s">
        <v>115</v>
      </c>
      <c r="G2" s="68" t="s">
        <v>116</v>
      </c>
      <c r="H2" s="69" t="s">
        <v>117</v>
      </c>
      <c r="I2" s="69" t="s">
        <v>118</v>
      </c>
      <c r="J2" s="69" t="s">
        <v>12</v>
      </c>
    </row>
    <row r="3" spans="1:10" s="74" customFormat="1" x14ac:dyDescent="0.2">
      <c r="A3" s="70">
        <f t="shared" ref="A3:A20" si="0">ROW()-2</f>
        <v>1</v>
      </c>
      <c r="B3" s="71" t="s">
        <v>98</v>
      </c>
      <c r="C3" s="72" t="str">
        <f>VLOOKUP($B3,ЛСР!$B$6:$L$80,2,0)</f>
        <v>№01, Технониколь</v>
      </c>
      <c r="D3" s="72" t="str">
        <f>VLOOKUP($B3,ЛСР!$B$6:$L$80,3,0)</f>
        <v>битумный</v>
      </c>
      <c r="E3" s="70" t="str">
        <f>VLOOKUP($B3,ЛСР!$B$6:$L$80,4,0)</f>
        <v>л (дм3)</v>
      </c>
      <c r="F3" s="73">
        <f>SUMIF(ЛСР!$B$6:$B$80,$B3,ЛСР!$G$6:$G$80)</f>
        <v>20.05</v>
      </c>
      <c r="G3" s="73">
        <f t="shared" ref="G3:G20" si="1">SUM(F3:F3)</f>
        <v>20.05</v>
      </c>
      <c r="H3" s="73"/>
      <c r="I3" s="73">
        <f>ROUND(H3*G3,2)</f>
        <v>0</v>
      </c>
      <c r="J3" s="72" t="str">
        <f>VLOOKUP($B3,[1]ЛСР!$B$6:$L$132,10,0)</f>
        <v>Технониколь №01</v>
      </c>
    </row>
    <row r="4" spans="1:10" s="74" customFormat="1" x14ac:dyDescent="0.2">
      <c r="A4" s="70">
        <f t="shared" si="0"/>
        <v>2</v>
      </c>
      <c r="B4" s="71" t="s">
        <v>32</v>
      </c>
      <c r="C4" s="72">
        <f>VLOOKUP($B4,ЛСР!$B$6:$L$80,2,0)</f>
        <v>0</v>
      </c>
      <c r="D4" s="72" t="str">
        <f>VLOOKUP($B4,ЛСР!$B$6:$L$80,3,0)</f>
        <v>гидропароизоляционная</v>
      </c>
      <c r="E4" s="70" t="str">
        <f>VLOOKUP($B4,ЛСР!$B$6:$L$80,4,0)</f>
        <v>м2</v>
      </c>
      <c r="F4" s="73">
        <f>SUMIF(ЛСР!$B$6:$B$80,$B4,ЛСР!$G$6:$G$80)</f>
        <v>40</v>
      </c>
      <c r="G4" s="73">
        <f t="shared" si="1"/>
        <v>40</v>
      </c>
      <c r="H4" s="73"/>
      <c r="I4" s="73">
        <f>ROUND(H4*G4,2)</f>
        <v>0</v>
      </c>
      <c r="J4" s="72" t="str">
        <f>VLOOKUP($B4,[1]ЛСР!$B$6:$L$132,10,0)</f>
        <v>Изоспан D</v>
      </c>
    </row>
    <row r="5" spans="1:10" s="74" customFormat="1" x14ac:dyDescent="0.2">
      <c r="A5" s="70">
        <f t="shared" si="0"/>
        <v>3</v>
      </c>
      <c r="B5" s="71" t="s">
        <v>99</v>
      </c>
      <c r="C5" s="72" t="str">
        <f>VLOOKUP($B5,ЛСР!$B$6:$L$80,2,0)</f>
        <v>KL+, Изоспан</v>
      </c>
      <c r="D5" s="72" t="str">
        <f>VLOOKUP($B5,ЛСР!$B$6:$L$80,3,0)</f>
        <v>усиленная двухсторонняя 25мм,25м</v>
      </c>
      <c r="E5" s="70" t="str">
        <f>VLOOKUP($B5,ЛСР!$B$6:$L$80,4,0)</f>
        <v>шт</v>
      </c>
      <c r="F5" s="73">
        <f>SUMIF(ЛСР!$B$6:$B$80,$B5,ЛСР!$G$6:$G$80)</f>
        <v>2</v>
      </c>
      <c r="G5" s="73">
        <f t="shared" si="1"/>
        <v>2</v>
      </c>
      <c r="H5" s="73"/>
      <c r="I5" s="73">
        <f t="shared" ref="I5:I20" si="2">ROUND(H5*G5,2)</f>
        <v>0</v>
      </c>
      <c r="J5" s="72" t="str">
        <f>VLOOKUP($B5,[1]ЛСР!$B$6:$L$132,10,0)</f>
        <v xml:space="preserve"> Лента Изоспан KL+</v>
      </c>
    </row>
    <row r="6" spans="1:10" s="74" customFormat="1" x14ac:dyDescent="0.2">
      <c r="A6" s="70">
        <f t="shared" si="0"/>
        <v>4</v>
      </c>
      <c r="B6" s="71" t="s">
        <v>100</v>
      </c>
      <c r="C6" s="72">
        <f>VLOOKUP($B6,ЛСР!$B$6:$L$80,2,0)</f>
        <v>0</v>
      </c>
      <c r="D6" s="72" t="str">
        <f>VLOOKUP($B6,ЛСР!$B$6:$L$80,3,0)</f>
        <v>экструзионный 1180х580х100мм 35кг/м3</v>
      </c>
      <c r="E6" s="70" t="str">
        <f>VLOOKUP($B6,ЛСР!$B$6:$L$80,4,0)</f>
        <v>м3</v>
      </c>
      <c r="F6" s="73">
        <f>SUMIF(ЛСР!$B$6:$B$80,$B6,ЛСР!$G$6:$G$80)</f>
        <v>5.31</v>
      </c>
      <c r="G6" s="73">
        <f t="shared" si="1"/>
        <v>5.31</v>
      </c>
      <c r="H6" s="73"/>
      <c r="I6" s="73">
        <f t="shared" si="2"/>
        <v>0</v>
      </c>
      <c r="J6" s="72" t="str">
        <f>VLOOKUP($B6,[1]ЛСР!$B$6:$L$132,10,0)</f>
        <v>В два слоя</v>
      </c>
    </row>
    <row r="7" spans="1:10" s="74" customFormat="1" x14ac:dyDescent="0.2">
      <c r="A7" s="70">
        <f t="shared" si="0"/>
        <v>5</v>
      </c>
      <c r="B7" s="71" t="s">
        <v>101</v>
      </c>
      <c r="C7" s="72">
        <f>VLOOKUP($B7,ЛСР!$B$6:$L$80,2,0)</f>
        <v>0</v>
      </c>
      <c r="D7" s="72" t="str">
        <f>VLOOKUP($B7,ЛСР!$B$6:$L$80,3,0)</f>
        <v>противопожарная</v>
      </c>
      <c r="E7" s="70" t="str">
        <f>VLOOKUP($B7,ЛСР!$B$6:$L$80,4,0)</f>
        <v>баллон</v>
      </c>
      <c r="F7" s="73">
        <f>SUMIF(ЛСР!$B$6:$B$80,$B7,ЛСР!$G$6:$G$80)</f>
        <v>1</v>
      </c>
      <c r="G7" s="73">
        <f t="shared" si="1"/>
        <v>1</v>
      </c>
      <c r="H7" s="73"/>
      <c r="I7" s="73">
        <f t="shared" si="2"/>
        <v>0</v>
      </c>
      <c r="J7" s="72">
        <f>VLOOKUP($B7,[1]ЛСР!$B$6:$L$132,10,0)</f>
        <v>0</v>
      </c>
    </row>
    <row r="8" spans="1:10" s="74" customFormat="1" x14ac:dyDescent="0.2">
      <c r="A8" s="70">
        <f t="shared" si="0"/>
        <v>6</v>
      </c>
      <c r="B8" s="71" t="s">
        <v>102</v>
      </c>
      <c r="C8" s="72">
        <f>VLOOKUP($B8,ЛСР!$B$6:$L$80,2,0)</f>
        <v>0</v>
      </c>
      <c r="D8" s="72" t="str">
        <f>VLOOKUP($B8,ЛСР!$B$6:$L$80,3,0)</f>
        <v>ЭКП 10х1м</v>
      </c>
      <c r="E8" s="70" t="str">
        <f>VLOOKUP($B8,ЛСР!$B$6:$L$80,4,0)</f>
        <v>м2</v>
      </c>
      <c r="F8" s="73">
        <f>SUMIF(ЛСР!$B$6:$B$80,$B8,ЛСР!$G$6:$G$80)</f>
        <v>76.17</v>
      </c>
      <c r="G8" s="73">
        <f t="shared" si="1"/>
        <v>76.17</v>
      </c>
      <c r="H8" s="73"/>
      <c r="I8" s="73">
        <f t="shared" si="2"/>
        <v>0</v>
      </c>
      <c r="J8" s="72">
        <f>VLOOKUP($B8,[1]ЛСР!$B$6:$L$132,10,0)</f>
        <v>0</v>
      </c>
    </row>
    <row r="9" spans="1:10" s="74" customFormat="1" x14ac:dyDescent="0.2">
      <c r="A9" s="70">
        <f t="shared" si="0"/>
        <v>7</v>
      </c>
      <c r="B9" s="71" t="s">
        <v>103</v>
      </c>
      <c r="C9" s="72">
        <f>VLOOKUP($B9,ЛСР!$B$6:$L$80,2,0)</f>
        <v>0</v>
      </c>
      <c r="D9" s="72" t="str">
        <f>VLOOKUP($B9,ЛСР!$B$6:$L$80,3,0)</f>
        <v>ЭПП 10х1м</v>
      </c>
      <c r="E9" s="70" t="str">
        <f>VLOOKUP($B9,ЛСР!$B$6:$L$80,4,0)</f>
        <v>м2</v>
      </c>
      <c r="F9" s="73">
        <f>SUMIF(ЛСР!$B$6:$B$80,$B9,ЛСР!$G$6:$G$80)</f>
        <v>70.83</v>
      </c>
      <c r="G9" s="73">
        <f t="shared" si="1"/>
        <v>70.83</v>
      </c>
      <c r="H9" s="73"/>
      <c r="I9" s="73">
        <f t="shared" si="2"/>
        <v>0</v>
      </c>
      <c r="J9" s="72">
        <f>VLOOKUP($B9,[1]ЛСР!$B$6:$L$132,10,0)</f>
        <v>0</v>
      </c>
    </row>
    <row r="10" spans="1:10" s="74" customFormat="1" x14ac:dyDescent="0.2">
      <c r="A10" s="70">
        <f t="shared" si="0"/>
        <v>8</v>
      </c>
      <c r="B10" s="71" t="s">
        <v>50</v>
      </c>
      <c r="C10" s="72">
        <f>VLOOKUP($B10,ЛСР!$B$6:$L$80,2,0)</f>
        <v>0</v>
      </c>
      <c r="D10" s="72">
        <f>VLOOKUP($B10,ЛСР!$B$6:$L$80,3,0)</f>
        <v>0</v>
      </c>
      <c r="E10" s="70" t="str">
        <f>VLOOKUP($B10,ЛСР!$B$6:$L$80,4,0)</f>
        <v>л (дм3)</v>
      </c>
      <c r="F10" s="73">
        <f>SUMIF(ЛСР!$B$6:$B$80,$B10,ЛСР!$G$6:$G$80)</f>
        <v>82.93</v>
      </c>
      <c r="G10" s="73">
        <f t="shared" si="1"/>
        <v>82.93</v>
      </c>
      <c r="H10" s="73"/>
      <c r="I10" s="73">
        <f t="shared" si="2"/>
        <v>0</v>
      </c>
      <c r="J10" s="72">
        <f>VLOOKUP($B10,[1]ЛСР!$B$6:$L$132,10,0)</f>
        <v>0</v>
      </c>
    </row>
    <row r="11" spans="1:10" s="74" customFormat="1" x14ac:dyDescent="0.2">
      <c r="A11" s="70">
        <f t="shared" si="0"/>
        <v>9</v>
      </c>
      <c r="B11" s="71" t="s">
        <v>104</v>
      </c>
      <c r="C11" s="72">
        <f>VLOOKUP($B11,ЛСР!$B$6:$L$80,2,0)</f>
        <v>0</v>
      </c>
      <c r="D11" s="72" t="str">
        <f>VLOOKUP($B11,ЛСР!$B$6:$L$80,3,0)</f>
        <v>ЛП-П 10мм</v>
      </c>
      <c r="E11" s="70" t="str">
        <f>VLOOKUP($B11,ЛСР!$B$6:$L$80,4,0)</f>
        <v>м2</v>
      </c>
      <c r="F11" s="73">
        <f>SUMIF(ЛСР!$B$6:$B$80,$B11,ЛСР!$G$6:$G$80)</f>
        <v>97.24</v>
      </c>
      <c r="G11" s="73">
        <f t="shared" si="1"/>
        <v>97.24</v>
      </c>
      <c r="H11" s="73"/>
      <c r="I11" s="73">
        <f t="shared" si="2"/>
        <v>0</v>
      </c>
      <c r="J11" s="72" t="str">
        <f>VLOOKUP($B11,[1]ЛСР!$B$6:$L$132,10,0)</f>
        <v>в 2 слоя</v>
      </c>
    </row>
    <row r="12" spans="1:10" s="74" customFormat="1" ht="25.5" x14ac:dyDescent="0.2">
      <c r="A12" s="70">
        <f t="shared" si="0"/>
        <v>10</v>
      </c>
      <c r="B12" s="71" t="s">
        <v>105</v>
      </c>
      <c r="C12" s="72">
        <f>VLOOKUP($B12,ЛСР!$B$6:$L$80,2,0)</f>
        <v>0</v>
      </c>
      <c r="D12" s="72" t="str">
        <f>VLOOKUP($B12,ЛСР!$B$6:$L$80,3,0)</f>
        <v>10мм двойной гнутый для плоского шифера</v>
      </c>
      <c r="E12" s="70" t="str">
        <f>VLOOKUP($B12,ЛСР!$B$6:$L$80,4,0)</f>
        <v>шт</v>
      </c>
      <c r="F12" s="73">
        <f>SUMIF(ЛСР!$B$6:$B$80,$B12,ЛСР!$G$6:$G$80)</f>
        <v>104</v>
      </c>
      <c r="G12" s="73">
        <f t="shared" si="1"/>
        <v>104</v>
      </c>
      <c r="H12" s="73"/>
      <c r="I12" s="73">
        <f t="shared" si="2"/>
        <v>0</v>
      </c>
      <c r="J12" s="72">
        <f>VLOOKUP($B12,[1]ЛСР!$B$6:$L$132,10,0)</f>
        <v>0</v>
      </c>
    </row>
    <row r="13" spans="1:10" s="74" customFormat="1" x14ac:dyDescent="0.2">
      <c r="A13" s="70">
        <f t="shared" si="0"/>
        <v>11</v>
      </c>
      <c r="B13" s="71" t="s">
        <v>106</v>
      </c>
      <c r="C13" s="72">
        <f>VLOOKUP($B13,ЛСР!$B$6:$L$80,2,0)</f>
        <v>0</v>
      </c>
      <c r="D13" s="72" t="str">
        <f>VLOOKUP($B13,ЛСР!$B$6:$L$80,3,0)</f>
        <v>по дереву 3,5х45</v>
      </c>
      <c r="E13" s="70" t="str">
        <f>VLOOKUP($B13,ЛСР!$B$6:$L$80,4,0)</f>
        <v>шт</v>
      </c>
      <c r="F13" s="73">
        <f>SUMIF(ЛСР!$B$6:$B$80,$B13,ЛСР!$G$6:$G$80)</f>
        <v>279</v>
      </c>
      <c r="G13" s="73">
        <f t="shared" si="1"/>
        <v>279</v>
      </c>
      <c r="H13" s="73"/>
      <c r="I13" s="73">
        <f t="shared" si="2"/>
        <v>0</v>
      </c>
      <c r="J13" s="72">
        <f>VLOOKUP($B13,[1]ЛСР!$B$6:$L$132,10,0)</f>
        <v>0</v>
      </c>
    </row>
    <row r="14" spans="1:10" s="74" customFormat="1" x14ac:dyDescent="0.2">
      <c r="A14" s="70">
        <f t="shared" si="0"/>
        <v>12</v>
      </c>
      <c r="B14" s="71" t="s">
        <v>57</v>
      </c>
      <c r="C14" s="72">
        <f>VLOOKUP($B14,ЛСР!$B$6:$L$80,2,0)</f>
        <v>0</v>
      </c>
      <c r="D14" s="72" t="str">
        <f>VLOOKUP($B14,ЛСР!$B$6:$L$80,3,0)</f>
        <v>фр.10-20мм</v>
      </c>
      <c r="E14" s="70" t="str">
        <f>VLOOKUP($B14,ЛСР!$B$6:$L$80,4,0)</f>
        <v>м3</v>
      </c>
      <c r="F14" s="73">
        <f>SUMIF(ЛСР!$B$6:$B$80,$B14,ЛСР!$G$6:$G$80)</f>
        <v>3.16</v>
      </c>
      <c r="G14" s="73">
        <f t="shared" si="1"/>
        <v>3.16</v>
      </c>
      <c r="H14" s="73"/>
      <c r="I14" s="73">
        <f t="shared" si="2"/>
        <v>0</v>
      </c>
      <c r="J14" s="72">
        <f>VLOOKUP($B14,[1]ЛСР!$B$6:$L$132,10,0)</f>
        <v>0</v>
      </c>
    </row>
    <row r="15" spans="1:10" s="74" customFormat="1" x14ac:dyDescent="0.2">
      <c r="A15" s="70">
        <f t="shared" si="0"/>
        <v>13</v>
      </c>
      <c r="B15" s="71" t="s">
        <v>107</v>
      </c>
      <c r="C15" s="72">
        <f>VLOOKUP($B15,ЛСР!$B$6:$L$80,2,0)</f>
        <v>0</v>
      </c>
      <c r="D15" s="72" t="str">
        <f>VLOOKUP($B15,ЛСР!$B$6:$L$80,3,0)</f>
        <v>100мм 130 кг/м3</v>
      </c>
      <c r="E15" s="70" t="str">
        <f>VLOOKUP($B15,ЛСР!$B$6:$L$80,4,0)</f>
        <v>м3</v>
      </c>
      <c r="F15" s="73">
        <f>SUMIF(ЛСР!$B$6:$B$80,$B15,ЛСР!$G$6:$G$80)</f>
        <v>1.88</v>
      </c>
      <c r="G15" s="73">
        <f t="shared" si="1"/>
        <v>1.88</v>
      </c>
      <c r="H15" s="73"/>
      <c r="I15" s="73">
        <f t="shared" si="2"/>
        <v>0</v>
      </c>
      <c r="J15" s="72">
        <f>VLOOKUP($B15,[1]ЛСР!$B$6:$L$132,10,0)</f>
        <v>0</v>
      </c>
    </row>
    <row r="16" spans="1:10" s="74" customFormat="1" x14ac:dyDescent="0.2">
      <c r="A16" s="70">
        <f t="shared" si="0"/>
        <v>14</v>
      </c>
      <c r="B16" s="71" t="s">
        <v>108</v>
      </c>
      <c r="C16" s="72">
        <f>VLOOKUP($B16,ЛСР!$B$6:$L$80,2,0)</f>
        <v>0</v>
      </c>
      <c r="D16" s="72" t="str">
        <f>VLOOKUP($B16,ЛСР!$B$6:$L$80,3,0)</f>
        <v>алюминиевая 3000х32х3,0</v>
      </c>
      <c r="E16" s="70" t="str">
        <f>VLOOKUP($B16,ЛСР!$B$6:$L$80,4,0)</f>
        <v>пог. м</v>
      </c>
      <c r="F16" s="73">
        <f>SUMIF(ЛСР!$B$6:$B$80,$B16,ЛСР!$G$6:$G$80)</f>
        <v>15.09</v>
      </c>
      <c r="G16" s="73">
        <f t="shared" si="1"/>
        <v>15.09</v>
      </c>
      <c r="H16" s="73"/>
      <c r="I16" s="73">
        <f t="shared" si="2"/>
        <v>0</v>
      </c>
      <c r="J16" s="72">
        <f>VLOOKUP($B16,[1]ЛСР!$B$6:$L$132,10,0)</f>
        <v>0</v>
      </c>
    </row>
    <row r="17" spans="1:10" s="74" customFormat="1" x14ac:dyDescent="0.2">
      <c r="A17" s="70">
        <f t="shared" si="0"/>
        <v>15</v>
      </c>
      <c r="B17" s="71" t="s">
        <v>109</v>
      </c>
      <c r="C17" s="72">
        <f>VLOOKUP($B17,ЛСР!$B$6:$L$80,2,0)</f>
        <v>0</v>
      </c>
      <c r="D17" s="72" t="str">
        <f>VLOOKUP($B17,ЛСР!$B$6:$L$80,3,0)</f>
        <v>полиуретановый</v>
      </c>
      <c r="E17" s="70" t="str">
        <f>VLOOKUP($B17,ЛСР!$B$6:$L$80,4,0)</f>
        <v>туб.</v>
      </c>
      <c r="F17" s="73">
        <f>SUMIF(ЛСР!$B$6:$B$80,$B17,ЛСР!$G$6:$G$80)</f>
        <v>1</v>
      </c>
      <c r="G17" s="73">
        <f t="shared" si="1"/>
        <v>1</v>
      </c>
      <c r="H17" s="73"/>
      <c r="I17" s="73">
        <f t="shared" si="2"/>
        <v>0</v>
      </c>
      <c r="J17" s="72">
        <f>VLOOKUP($B17,[1]ЛСР!$B$6:$L$132,10,0)</f>
        <v>0</v>
      </c>
    </row>
    <row r="18" spans="1:10" s="74" customFormat="1" x14ac:dyDescent="0.2">
      <c r="A18" s="70">
        <f t="shared" si="0"/>
        <v>16</v>
      </c>
      <c r="B18" s="71" t="s">
        <v>110</v>
      </c>
      <c r="C18" s="72">
        <f>VLOOKUP($B18,ЛСР!$B$6:$L$80,2,0)</f>
        <v>0</v>
      </c>
      <c r="D18" s="72" t="str">
        <f>VLOOKUP($B18,ЛСР!$B$6:$L$80,3,0)</f>
        <v>6х40</v>
      </c>
      <c r="E18" s="70" t="str">
        <f>VLOOKUP($B18,ЛСР!$B$6:$L$80,4,0)</f>
        <v>шт</v>
      </c>
      <c r="F18" s="73">
        <f>SUMIF(ЛСР!$B$6:$B$80,$B18,ЛСР!$G$6:$G$80)</f>
        <v>177</v>
      </c>
      <c r="G18" s="73">
        <f t="shared" si="1"/>
        <v>177</v>
      </c>
      <c r="H18" s="73"/>
      <c r="I18" s="73">
        <f t="shared" si="2"/>
        <v>0</v>
      </c>
      <c r="J18" s="72">
        <f>VLOOKUP($B18,[1]ЛСР!$B$6:$L$132,10,0)</f>
        <v>0</v>
      </c>
    </row>
    <row r="19" spans="1:10" s="74" customFormat="1" x14ac:dyDescent="0.2">
      <c r="A19" s="70">
        <f t="shared" si="0"/>
        <v>17</v>
      </c>
      <c r="B19" s="71" t="s">
        <v>111</v>
      </c>
      <c r="C19" s="72">
        <f>VLOOKUP($B19,ЛСР!$B$6:$L$80,2,0)</f>
        <v>0</v>
      </c>
      <c r="D19" s="72" t="str">
        <f>VLOOKUP($B19,ЛСР!$B$6:$L$80,3,0)</f>
        <v>рамный металлический 10х152</v>
      </c>
      <c r="E19" s="70" t="str">
        <f>VLOOKUP($B19,ЛСР!$B$6:$L$80,4,0)</f>
        <v>шт</v>
      </c>
      <c r="F19" s="73">
        <f>SUMIF(ЛСР!$B$6:$B$80,$B19,ЛСР!$G$6:$G$80)</f>
        <v>150</v>
      </c>
      <c r="G19" s="73">
        <f t="shared" si="1"/>
        <v>150</v>
      </c>
      <c r="H19" s="73"/>
      <c r="I19" s="73">
        <f t="shared" si="2"/>
        <v>0</v>
      </c>
      <c r="J19" s="72">
        <f>VLOOKUP($B19,[1]ЛСР!$B$6:$L$132,10,0)</f>
        <v>0</v>
      </c>
    </row>
    <row r="20" spans="1:10" s="74" customFormat="1" x14ac:dyDescent="0.2">
      <c r="A20" s="70">
        <f t="shared" si="0"/>
        <v>18</v>
      </c>
      <c r="B20" s="71" t="s">
        <v>112</v>
      </c>
      <c r="C20" s="72">
        <f>VLOOKUP($B20,ЛСР!$B$6:$L$80,2,0)</f>
        <v>0</v>
      </c>
      <c r="D20" s="72" t="str">
        <f>VLOOKUP($B20,ЛСР!$B$6:$L$80,3,0)</f>
        <v>обрезная антисептированная 50х100х6000</v>
      </c>
      <c r="E20" s="70" t="str">
        <f>VLOOKUP($B20,ЛСР!$B$6:$L$80,4,0)</f>
        <v>м3</v>
      </c>
      <c r="F20" s="73">
        <f>SUMIF(ЛСР!$B$6:$B$80,$B20,ЛСР!$G$6:$G$80)</f>
        <v>0.23</v>
      </c>
      <c r="G20" s="73">
        <f t="shared" si="1"/>
        <v>0.23</v>
      </c>
      <c r="H20" s="73"/>
      <c r="I20" s="73">
        <f t="shared" si="2"/>
        <v>0</v>
      </c>
      <c r="J20" s="72">
        <f>VLOOKUP($B20,[1]ЛСР!$B$6:$L$132,10,0)</f>
        <v>0</v>
      </c>
    </row>
    <row r="21" spans="1:10" x14ac:dyDescent="0.2">
      <c r="H21" s="86" t="s">
        <v>96</v>
      </c>
      <c r="I21" s="87">
        <f>SUM(I3:I20)</f>
        <v>0</v>
      </c>
    </row>
    <row r="22" spans="1:10" x14ac:dyDescent="0.2">
      <c r="H22" s="86" t="s">
        <v>97</v>
      </c>
      <c r="I22" s="87">
        <f>I21-ЛСР!J83</f>
        <v>0</v>
      </c>
    </row>
    <row r="23" spans="1:10" x14ac:dyDescent="0.2">
      <c r="I23" s="75"/>
    </row>
    <row r="25" spans="1:10" ht="13.5" x14ac:dyDescent="0.2">
      <c r="A25" s="76"/>
      <c r="B25" s="77"/>
      <c r="C25" s="76"/>
      <c r="D25" s="76"/>
      <c r="E25" s="76"/>
      <c r="F25" s="76"/>
      <c r="G25" s="76"/>
      <c r="H25" s="76"/>
      <c r="I25" s="78"/>
      <c r="J25" s="76"/>
    </row>
    <row r="26" spans="1:10" x14ac:dyDescent="0.2">
      <c r="A26" s="79"/>
      <c r="B26" s="80"/>
      <c r="C26" s="80"/>
      <c r="D26" s="80"/>
      <c r="E26" s="80"/>
      <c r="F26" s="80"/>
      <c r="G26" s="80"/>
      <c r="H26" s="80"/>
      <c r="I26" s="80"/>
      <c r="J26" s="80"/>
    </row>
    <row r="27" spans="1:10" x14ac:dyDescent="0.2">
      <c r="A27" s="81"/>
      <c r="B27" s="109"/>
      <c r="C27" s="109"/>
      <c r="D27" s="109"/>
      <c r="E27" s="109"/>
      <c r="F27" s="109"/>
      <c r="G27" s="109"/>
      <c r="H27" s="109"/>
      <c r="I27" s="109"/>
      <c r="J27" s="109"/>
    </row>
    <row r="28" spans="1:10" x14ac:dyDescent="0.2">
      <c r="A28" s="79"/>
      <c r="B28" s="82"/>
      <c r="C28" s="83"/>
      <c r="D28" s="83"/>
      <c r="E28" s="83"/>
      <c r="F28" s="83"/>
      <c r="G28" s="83"/>
      <c r="H28" s="83"/>
      <c r="I28" s="83"/>
      <c r="J28" s="83"/>
    </row>
    <row r="29" spans="1:10" x14ac:dyDescent="0.2">
      <c r="A29" s="79"/>
      <c r="B29" s="84"/>
    </row>
  </sheetData>
  <mergeCells count="1">
    <mergeCell ref="B27:J27"/>
  </mergeCells>
  <conditionalFormatting sqref="B30">
    <cfRule type="duplicateValues" dxfId="4" priority="2"/>
    <cfRule type="duplicateValues" dxfId="3" priority="3"/>
  </conditionalFormatting>
  <conditionalFormatting sqref="B31:B1048576 B1:B24">
    <cfRule type="duplicateValues" dxfId="2" priority="4"/>
  </conditionalFormatting>
  <conditionalFormatting sqref="B31:B1048576 B1:B28">
    <cfRule type="duplicateValues" dxfId="1" priority="5"/>
  </conditionalFormatting>
  <conditionalFormatting sqref="C3:D20 J3:J20">
    <cfRule type="cellIs" dxfId="0" priority="1" operator="equal">
      <formula>0</formula>
    </cfRule>
  </conditionalFormatting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90</v>
      </c>
      <c r="B1" s="1" t="s">
        <v>91</v>
      </c>
    </row>
    <row r="2" spans="1:2" ht="11.1" customHeight="1" x14ac:dyDescent="0.2">
      <c r="A2" s="1" t="s">
        <v>92</v>
      </c>
      <c r="B2" s="1" t="s">
        <v>93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Великоборец Александра Михайловна</cp:lastModifiedBy>
  <dcterms:modified xsi:type="dcterms:W3CDTF">2026-05-07T03:42:17Z</dcterms:modified>
</cp:coreProperties>
</file>